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tabRatio="712" firstSheet="2" activeTab="2"/>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r:id="rId12"/>
    <sheet name="12.Facility 1 - Trading" sheetId="13" r:id="rId13"/>
    <sheet name="13.Facility 2 Grain Processing" sheetId="14" r:id="rId14"/>
    <sheet name="14. Facility 3 Warehouse" sheetId="15" r:id="rId15"/>
    <sheet name="15. Facility 4 Custom Hiring" sheetId="16" r:id="rId16"/>
    <sheet name="16.Facility 5 Agri Input" sheetId="17" r:id="rId17"/>
    <sheet name="17.Facility 6 Horti Processing " sheetId="18" r:id="rId18"/>
  </sheets>
  <externalReferences>
    <externalReference r:id="rId19"/>
  </externalReferences>
  <definedNames>
    <definedName name="_xlnm.Print_Area" localSheetId="1">'1.Project Cost and MOF'!$B$1:$G$33</definedName>
    <definedName name="_xlnm.Print_Area" localSheetId="10">'10.Grain Production details'!$A$1:$H$119</definedName>
    <definedName name="_xlnm.Print_Area" localSheetId="11">'11.F&amp;V Crop Production details'!$A$1:$H$132</definedName>
    <definedName name="_xlnm.Print_Area" localSheetId="12">'12.Facility 1 - Trading'!$A$1:$J$313</definedName>
    <definedName name="_xlnm.Print_Area" localSheetId="13">'13.Facility 2 Grain Processing'!$A$1:$J$189</definedName>
    <definedName name="_xlnm.Print_Area" localSheetId="2">'2.Capex Details'!$A$1:$H$130</definedName>
    <definedName name="_xlnm.Print_Area" localSheetId="3">'3.Other Exp &amp; Taxes'!$A$1:$S$104</definedName>
    <definedName name="_xlnm.Print_Area" localSheetId="4">'4.TL repayment sch'!$A$1:$G$57</definedName>
    <definedName name="_xlnm.Print_Area" localSheetId="6">'6.Cons Profit &amp; Loss'!$A$1:$H$56</definedName>
    <definedName name="_xlnm.Print_Area" localSheetId="8">'8.Cash Flow '!$A$1:$J$35</definedName>
    <definedName name="_xlnm.Print_Area" localSheetId="9">'9. Financial indiacators'!$B$5:$J$184</definedName>
    <definedName name="_xlnm.Print_Titles" localSheetId="14">'14. Facility 3 Warehouse'!$18:$18</definedName>
    <definedName name="_xlnm.Print_Titles" localSheetId="16">'16.Facility 5 Agri Input'!$126:$126</definedName>
    <definedName name="_xlnm.Print_Titles" localSheetId="4">'4.TL repayment sch'!$1:$9</definedName>
    <definedName name="_xlnm.Print_Titles" localSheetId="6">'6.Cons Profit &amp; Loss'!$2:$5</definedName>
    <definedName name="_xlnm.Print_Titles" localSheetId="7">'7.Balance Sheet'!$2:$4</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64" i="4" l="1"/>
  <c r="L63" i="4"/>
  <c r="L62" i="4"/>
  <c r="L61" i="4"/>
  <c r="L60" i="3" l="1"/>
  <c r="G64" i="3"/>
  <c r="J65" i="3"/>
  <c r="E110" i="3" l="1"/>
  <c r="E146" i="14"/>
  <c r="F146" i="14"/>
  <c r="G146" i="14"/>
  <c r="H146" i="14"/>
  <c r="I146" i="14"/>
  <c r="J146" i="14"/>
  <c r="E139" i="14"/>
  <c r="F139" i="14"/>
  <c r="G139" i="14"/>
  <c r="H139" i="14"/>
  <c r="I139" i="14"/>
  <c r="J139" i="14"/>
  <c r="E161" i="14"/>
  <c r="F161" i="14"/>
  <c r="G161" i="14"/>
  <c r="H161" i="14"/>
  <c r="I161" i="14"/>
  <c r="J161" i="14"/>
  <c r="D161" i="14"/>
  <c r="N141" i="14"/>
  <c r="L23" i="14"/>
  <c r="L22" i="14"/>
  <c r="L28" i="14"/>
  <c r="L29" i="14" s="1"/>
  <c r="L27" i="14"/>
  <c r="N137" i="14"/>
  <c r="L142" i="14"/>
  <c r="L140" i="14"/>
  <c r="B158" i="14"/>
  <c r="G61" i="3" l="1"/>
  <c r="G60" i="3"/>
  <c r="G58" i="3"/>
  <c r="G57" i="3"/>
  <c r="G55" i="3"/>
  <c r="G54" i="3"/>
  <c r="G53" i="3"/>
  <c r="G52" i="3"/>
  <c r="G51" i="3"/>
  <c r="G50" i="3"/>
  <c r="K25" i="7" l="1"/>
  <c r="I27" i="2" l="1"/>
  <c r="H47" i="3" l="1"/>
  <c r="F113" i="3"/>
  <c r="F112" i="3"/>
  <c r="K7" i="3"/>
  <c r="L75" i="14" l="1"/>
  <c r="L76" i="14" s="1"/>
  <c r="D181" i="18"/>
  <c r="D180" i="18"/>
  <c r="D185" i="18" s="1"/>
  <c r="A156" i="18"/>
  <c r="A155" i="18"/>
  <c r="A154" i="18"/>
  <c r="E149" i="18"/>
  <c r="B41" i="18"/>
  <c r="C40" i="18"/>
  <c r="D40" i="18" s="1"/>
  <c r="H33" i="18"/>
  <c r="H32" i="18"/>
  <c r="H31" i="18"/>
  <c r="D268" i="17"/>
  <c r="D267" i="17"/>
  <c r="D266" i="17"/>
  <c r="D265" i="17"/>
  <c r="A251" i="17"/>
  <c r="A249" i="17"/>
  <c r="A247" i="17"/>
  <c r="A246" i="17"/>
  <c r="A245" i="17"/>
  <c r="A244" i="17"/>
  <c r="D243" i="17"/>
  <c r="D214" i="17"/>
  <c r="D205" i="17"/>
  <c r="A195" i="17"/>
  <c r="A179" i="17"/>
  <c r="A243" i="17" s="1"/>
  <c r="A138" i="17"/>
  <c r="A205" i="17" s="1"/>
  <c r="A129" i="17"/>
  <c r="E124" i="17"/>
  <c r="A70" i="17"/>
  <c r="A61" i="17"/>
  <c r="A32" i="17"/>
  <c r="I31" i="17"/>
  <c r="I84" i="17" s="1"/>
  <c r="H31" i="17"/>
  <c r="H84" i="17" s="1"/>
  <c r="G31" i="17"/>
  <c r="G84" i="17" s="1"/>
  <c r="F31" i="17"/>
  <c r="F84" i="17" s="1"/>
  <c r="E31" i="17"/>
  <c r="E84" i="17" s="1"/>
  <c r="D31" i="17"/>
  <c r="D84" i="17" s="1"/>
  <c r="C31" i="17"/>
  <c r="C84" i="17" s="1"/>
  <c r="A31" i="17"/>
  <c r="A26" i="17"/>
  <c r="E52" i="16"/>
  <c r="E56" i="16" s="1"/>
  <c r="D38" i="16"/>
  <c r="C38" i="16"/>
  <c r="G38" i="16" s="1"/>
  <c r="D37" i="16"/>
  <c r="C37" i="16"/>
  <c r="D36" i="16"/>
  <c r="E36" i="16" s="1"/>
  <c r="C36" i="16"/>
  <c r="F36" i="16" s="1"/>
  <c r="D35" i="16"/>
  <c r="C35" i="16"/>
  <c r="F35" i="16" s="1"/>
  <c r="D34" i="16"/>
  <c r="C34" i="16"/>
  <c r="G34" i="16" s="1"/>
  <c r="D33" i="16"/>
  <c r="C33" i="16"/>
  <c r="D32" i="16"/>
  <c r="A32" i="16"/>
  <c r="D31" i="16"/>
  <c r="A31" i="16"/>
  <c r="D30" i="16"/>
  <c r="A30" i="16"/>
  <c r="D29" i="16"/>
  <c r="A29" i="16"/>
  <c r="D28" i="16"/>
  <c r="A28" i="16"/>
  <c r="G23" i="16"/>
  <c r="F23" i="16"/>
  <c r="F52" i="16" s="1"/>
  <c r="F56" i="16" s="1"/>
  <c r="C31" i="7" s="1"/>
  <c r="M17" i="16"/>
  <c r="J17" i="16"/>
  <c r="F17" i="16"/>
  <c r="M16" i="16"/>
  <c r="J16" i="16"/>
  <c r="F16" i="16"/>
  <c r="M15" i="16"/>
  <c r="C44" i="16" s="1"/>
  <c r="J15" i="16"/>
  <c r="F15" i="16"/>
  <c r="M14" i="16"/>
  <c r="J14" i="16"/>
  <c r="F14" i="16"/>
  <c r="M13" i="16"/>
  <c r="J13" i="16"/>
  <c r="F13" i="16"/>
  <c r="M12" i="16"/>
  <c r="F12" i="16"/>
  <c r="H12" i="16" s="1"/>
  <c r="M11" i="16"/>
  <c r="F11" i="16"/>
  <c r="H11" i="16" s="1"/>
  <c r="J11" i="16" s="1"/>
  <c r="M10" i="16"/>
  <c r="F10" i="16"/>
  <c r="H10" i="16" s="1"/>
  <c r="M9" i="16"/>
  <c r="F9" i="16"/>
  <c r="H9" i="16" s="1"/>
  <c r="J9" i="16" s="1"/>
  <c r="M8" i="16"/>
  <c r="F8" i="16"/>
  <c r="H8" i="16" s="1"/>
  <c r="D37" i="15"/>
  <c r="D43" i="15" s="1"/>
  <c r="C29" i="15"/>
  <c r="D28" i="15"/>
  <c r="E27" i="15"/>
  <c r="D27" i="15"/>
  <c r="E17" i="15"/>
  <c r="E28" i="15" s="1"/>
  <c r="B10" i="15"/>
  <c r="D21" i="15" s="1"/>
  <c r="D23" i="15" s="1"/>
  <c r="C9" i="15"/>
  <c r="D9" i="15" s="1"/>
  <c r="D172" i="14"/>
  <c r="D177" i="14" s="1"/>
  <c r="B29" i="7" s="1"/>
  <c r="K145" i="14"/>
  <c r="E133" i="14"/>
  <c r="E172" i="14" s="1"/>
  <c r="E177" i="14" s="1"/>
  <c r="C29" i="7" s="1"/>
  <c r="A121" i="14"/>
  <c r="B34" i="14"/>
  <c r="C33" i="14"/>
  <c r="D33" i="14" s="1"/>
  <c r="D294" i="13"/>
  <c r="D301" i="13" s="1"/>
  <c r="D280" i="13"/>
  <c r="A280" i="13"/>
  <c r="D279" i="13"/>
  <c r="A279" i="13"/>
  <c r="D255" i="13"/>
  <c r="A255" i="13"/>
  <c r="A254" i="13"/>
  <c r="E172" i="13"/>
  <c r="E294" i="13" s="1"/>
  <c r="E301" i="13" s="1"/>
  <c r="C28" i="7" s="1"/>
  <c r="H164" i="13"/>
  <c r="G164" i="13"/>
  <c r="F164" i="13"/>
  <c r="E164" i="13"/>
  <c r="D164" i="13"/>
  <c r="C164" i="13"/>
  <c r="E223" i="13" s="1"/>
  <c r="B164" i="13"/>
  <c r="D223" i="13" s="1"/>
  <c r="H163" i="13"/>
  <c r="G163" i="13"/>
  <c r="F163" i="13"/>
  <c r="E163" i="13"/>
  <c r="D163" i="13"/>
  <c r="C163" i="13"/>
  <c r="B163" i="13"/>
  <c r="D222" i="13" s="1"/>
  <c r="H162" i="13"/>
  <c r="G162" i="13"/>
  <c r="F162" i="13"/>
  <c r="E162" i="13"/>
  <c r="D162" i="13"/>
  <c r="C162" i="13"/>
  <c r="B162" i="13"/>
  <c r="D221" i="13" s="1"/>
  <c r="H63" i="13"/>
  <c r="G63" i="13"/>
  <c r="F63" i="13"/>
  <c r="E63" i="13"/>
  <c r="D63" i="13"/>
  <c r="C63" i="13"/>
  <c r="B63" i="13"/>
  <c r="F89" i="13" s="1"/>
  <c r="A56" i="13"/>
  <c r="A113" i="13" s="1"/>
  <c r="A165" i="13" s="1"/>
  <c r="A224" i="13" s="1"/>
  <c r="A275" i="13" s="1"/>
  <c r="A52" i="13"/>
  <c r="A109" i="13" s="1"/>
  <c r="A161" i="13" s="1"/>
  <c r="A220" i="13" s="1"/>
  <c r="A274" i="13" s="1"/>
  <c r="A51" i="13"/>
  <c r="A108" i="13" s="1"/>
  <c r="A160" i="13" s="1"/>
  <c r="A219" i="13" s="1"/>
  <c r="A273" i="13" s="1"/>
  <c r="A50" i="13"/>
  <c r="A107" i="13" s="1"/>
  <c r="A159" i="13" s="1"/>
  <c r="A218" i="13" s="1"/>
  <c r="A272" i="13" s="1"/>
  <c r="A48" i="13"/>
  <c r="A105" i="13" s="1"/>
  <c r="A157" i="13" s="1"/>
  <c r="A216" i="13" s="1"/>
  <c r="A270" i="13" s="1"/>
  <c r="A47" i="13"/>
  <c r="A104" i="13" s="1"/>
  <c r="A156" i="13" s="1"/>
  <c r="A215" i="13" s="1"/>
  <c r="A269" i="13" s="1"/>
  <c r="A46" i="13"/>
  <c r="A103" i="13" s="1"/>
  <c r="A155" i="13" s="1"/>
  <c r="A214" i="13" s="1"/>
  <c r="A268" i="13" s="1"/>
  <c r="A44" i="13"/>
  <c r="A101" i="13" s="1"/>
  <c r="A153" i="13" s="1"/>
  <c r="A212" i="13" s="1"/>
  <c r="A266" i="13" s="1"/>
  <c r="A43" i="13"/>
  <c r="A100" i="13" s="1"/>
  <c r="A152" i="13" s="1"/>
  <c r="A211" i="13" s="1"/>
  <c r="A265" i="13" s="1"/>
  <c r="A42" i="13"/>
  <c r="A99" i="13" s="1"/>
  <c r="A151" i="13" s="1"/>
  <c r="A210" i="13" s="1"/>
  <c r="A264" i="13" s="1"/>
  <c r="A40" i="13"/>
  <c r="A97" i="13" s="1"/>
  <c r="A149" i="13" s="1"/>
  <c r="A208" i="13" s="1"/>
  <c r="A262" i="13" s="1"/>
  <c r="A39" i="13"/>
  <c r="A96" i="13" s="1"/>
  <c r="A148" i="13" s="1"/>
  <c r="A207" i="13" s="1"/>
  <c r="A261" i="13" s="1"/>
  <c r="A38" i="13"/>
  <c r="A95" i="13" s="1"/>
  <c r="A147" i="13" s="1"/>
  <c r="A206" i="13" s="1"/>
  <c r="A260" i="13" s="1"/>
  <c r="A36" i="13"/>
  <c r="A93" i="13" s="1"/>
  <c r="A145" i="13" s="1"/>
  <c r="A204" i="13" s="1"/>
  <c r="A258" i="13" s="1"/>
  <c r="A35" i="13"/>
  <c r="A92" i="13" s="1"/>
  <c r="A144" i="13" s="1"/>
  <c r="A203" i="13" s="1"/>
  <c r="A257" i="13" s="1"/>
  <c r="A34" i="13"/>
  <c r="A91" i="13" s="1"/>
  <c r="A143" i="13" s="1"/>
  <c r="A202" i="13" s="1"/>
  <c r="A256" i="13" s="1"/>
  <c r="H32" i="13"/>
  <c r="G32" i="13"/>
  <c r="F32" i="13"/>
  <c r="E32" i="13"/>
  <c r="E89" i="13" s="1"/>
  <c r="D32" i="13"/>
  <c r="C32" i="13"/>
  <c r="B32" i="13"/>
  <c r="B89" i="13" s="1"/>
  <c r="A32" i="13"/>
  <c r="A89" i="13" s="1"/>
  <c r="A141" i="13" s="1"/>
  <c r="C100" i="12"/>
  <c r="D100" i="12" s="1"/>
  <c r="E100" i="12" s="1"/>
  <c r="F100" i="12" s="1"/>
  <c r="G100" i="12" s="1"/>
  <c r="H100" i="12" s="1"/>
  <c r="A98" i="12"/>
  <c r="A97" i="12"/>
  <c r="A95" i="12"/>
  <c r="C74" i="12"/>
  <c r="C13" i="18" s="1"/>
  <c r="A74" i="12"/>
  <c r="D72" i="12"/>
  <c r="E72" i="12" s="1"/>
  <c r="F72" i="12" s="1"/>
  <c r="G72" i="12" s="1"/>
  <c r="H72" i="12" s="1"/>
  <c r="C72" i="12"/>
  <c r="A70" i="12"/>
  <c r="A59" i="13" s="1"/>
  <c r="A116" i="13" s="1"/>
  <c r="A168" i="13" s="1"/>
  <c r="A227" i="13" s="1"/>
  <c r="A278" i="13" s="1"/>
  <c r="A69" i="12"/>
  <c r="A58" i="13" s="1"/>
  <c r="A115" i="13" s="1"/>
  <c r="A167" i="13" s="1"/>
  <c r="A226" i="13" s="1"/>
  <c r="A277" i="13" s="1"/>
  <c r="A68" i="12"/>
  <c r="A57" i="13" s="1"/>
  <c r="A114" i="13" s="1"/>
  <c r="A166" i="13" s="1"/>
  <c r="A225" i="13" s="1"/>
  <c r="A276" i="13" s="1"/>
  <c r="A67" i="12"/>
  <c r="A66" i="12"/>
  <c r="A55" i="13" s="1"/>
  <c r="A112" i="13" s="1"/>
  <c r="A164" i="13" s="1"/>
  <c r="A223" i="13" s="1"/>
  <c r="A65" i="12"/>
  <c r="A54" i="13" s="1"/>
  <c r="A111" i="13" s="1"/>
  <c r="A163" i="13" s="1"/>
  <c r="A222" i="13" s="1"/>
  <c r="A64" i="12"/>
  <c r="A53" i="13" s="1"/>
  <c r="A110" i="13" s="1"/>
  <c r="A162" i="13" s="1"/>
  <c r="A221" i="13" s="1"/>
  <c r="A63" i="12"/>
  <c r="A91" i="12" s="1"/>
  <c r="A62" i="12"/>
  <c r="A90" i="12" s="1"/>
  <c r="A61" i="12"/>
  <c r="A89" i="12" s="1"/>
  <c r="A60" i="12"/>
  <c r="A49" i="13" s="1"/>
  <c r="A106" i="13" s="1"/>
  <c r="A158" i="13" s="1"/>
  <c r="A217" i="13" s="1"/>
  <c r="A271" i="13" s="1"/>
  <c r="A59" i="12"/>
  <c r="A87" i="12" s="1"/>
  <c r="A26" i="18" s="1"/>
  <c r="A57" i="18" s="1"/>
  <c r="A118" i="18" s="1"/>
  <c r="A58" i="12"/>
  <c r="A86" i="12" s="1"/>
  <c r="A25" i="18" s="1"/>
  <c r="A56" i="18" s="1"/>
  <c r="A114" i="18" s="1"/>
  <c r="A57" i="12"/>
  <c r="A85" i="12" s="1"/>
  <c r="A24" i="18" s="1"/>
  <c r="A55" i="18" s="1"/>
  <c r="A110" i="18" s="1"/>
  <c r="A56" i="12"/>
  <c r="A45" i="13" s="1"/>
  <c r="A102" i="13" s="1"/>
  <c r="A154" i="13" s="1"/>
  <c r="A213" i="13" s="1"/>
  <c r="A267" i="13" s="1"/>
  <c r="A55" i="12"/>
  <c r="A83" i="12" s="1"/>
  <c r="A22" i="18" s="1"/>
  <c r="A53" i="18" s="1"/>
  <c r="A102" i="18" s="1"/>
  <c r="A54" i="12"/>
  <c r="A82" i="12" s="1"/>
  <c r="A21" i="18" s="1"/>
  <c r="A52" i="18" s="1"/>
  <c r="A98" i="18" s="1"/>
  <c r="A53" i="12"/>
  <c r="A81" i="12" s="1"/>
  <c r="A20" i="18" s="1"/>
  <c r="A51" i="18" s="1"/>
  <c r="A94" i="18" s="1"/>
  <c r="A52" i="12"/>
  <c r="A41" i="13" s="1"/>
  <c r="A98" i="13" s="1"/>
  <c r="A150" i="13" s="1"/>
  <c r="A209" i="13" s="1"/>
  <c r="A263" i="13" s="1"/>
  <c r="A51" i="12"/>
  <c r="A79" i="12" s="1"/>
  <c r="A18" i="18" s="1"/>
  <c r="A49" i="18" s="1"/>
  <c r="A87" i="18" s="1"/>
  <c r="A50" i="12"/>
  <c r="A78" i="12" s="1"/>
  <c r="A17" i="18" s="1"/>
  <c r="A48" i="18" s="1"/>
  <c r="A83" i="18" s="1"/>
  <c r="A49" i="12"/>
  <c r="A77" i="12" s="1"/>
  <c r="A16" i="18" s="1"/>
  <c r="A47" i="18" s="1"/>
  <c r="A79" i="18" s="1"/>
  <c r="A48" i="12"/>
  <c r="A37" i="13" s="1"/>
  <c r="A94" i="13" s="1"/>
  <c r="A146" i="13" s="1"/>
  <c r="A205" i="13" s="1"/>
  <c r="A259" i="13" s="1"/>
  <c r="A47" i="12"/>
  <c r="A75" i="12" s="1"/>
  <c r="A14" i="18" s="1"/>
  <c r="A45" i="18" s="1"/>
  <c r="A71" i="18" s="1"/>
  <c r="A46" i="12"/>
  <c r="C44" i="12"/>
  <c r="D44" i="12" s="1"/>
  <c r="E44" i="12" s="1"/>
  <c r="F44" i="12" s="1"/>
  <c r="G44" i="12" s="1"/>
  <c r="H44" i="12" s="1"/>
  <c r="D17" i="12"/>
  <c r="V12" i="12"/>
  <c r="W12" i="12" s="1"/>
  <c r="X12" i="12" s="1"/>
  <c r="P12" i="12"/>
  <c r="Q12" i="12" s="1"/>
  <c r="R12" i="12" s="1"/>
  <c r="S12" i="12" s="1"/>
  <c r="T12" i="12" s="1"/>
  <c r="K12" i="12"/>
  <c r="L12" i="12" s="1"/>
  <c r="M12" i="12" s="1"/>
  <c r="N12" i="12" s="1"/>
  <c r="B7" i="12"/>
  <c r="B9" i="12" s="1"/>
  <c r="C32" i="12" s="1"/>
  <c r="B113" i="11"/>
  <c r="C90" i="11"/>
  <c r="D90" i="11" s="1"/>
  <c r="E90" i="11" s="1"/>
  <c r="F90" i="11" s="1"/>
  <c r="G90" i="11" s="1"/>
  <c r="H90" i="11" s="1"/>
  <c r="C65" i="11"/>
  <c r="D65" i="11" s="1"/>
  <c r="E65" i="11" s="1"/>
  <c r="F65" i="11" s="1"/>
  <c r="G65" i="11" s="1"/>
  <c r="H65" i="11" s="1"/>
  <c r="A62" i="11"/>
  <c r="A61" i="11"/>
  <c r="A60" i="11"/>
  <c r="A59" i="11"/>
  <c r="A58" i="11"/>
  <c r="A57" i="11"/>
  <c r="A56" i="11"/>
  <c r="A55" i="11"/>
  <c r="A54" i="11"/>
  <c r="A53" i="11"/>
  <c r="A52" i="11"/>
  <c r="A51" i="11"/>
  <c r="A50" i="11"/>
  <c r="A49" i="11"/>
  <c r="A48" i="11"/>
  <c r="A47" i="11"/>
  <c r="A46" i="11"/>
  <c r="A45" i="11"/>
  <c r="A44" i="11"/>
  <c r="A43" i="11"/>
  <c r="A42" i="11"/>
  <c r="C40" i="11"/>
  <c r="D40" i="11" s="1"/>
  <c r="E40" i="11" s="1"/>
  <c r="F40" i="11" s="1"/>
  <c r="G40" i="11" s="1"/>
  <c r="H40" i="11" s="1"/>
  <c r="V12" i="11"/>
  <c r="W12" i="11" s="1"/>
  <c r="X12" i="11" s="1"/>
  <c r="P12" i="11"/>
  <c r="Q12" i="11" s="1"/>
  <c r="R12" i="11" s="1"/>
  <c r="S12" i="11" s="1"/>
  <c r="T12" i="11" s="1"/>
  <c r="K12" i="11"/>
  <c r="L12" i="11" s="1"/>
  <c r="M12" i="11" s="1"/>
  <c r="N12" i="11" s="1"/>
  <c r="B7" i="11"/>
  <c r="B9" i="11" s="1"/>
  <c r="D19" i="11" s="1"/>
  <c r="I176" i="10"/>
  <c r="H176" i="10"/>
  <c r="G176" i="10"/>
  <c r="F176" i="10"/>
  <c r="E176" i="10"/>
  <c r="D176" i="10"/>
  <c r="C176" i="10"/>
  <c r="I161" i="10"/>
  <c r="H161" i="10"/>
  <c r="G161" i="10"/>
  <c r="F161" i="10"/>
  <c r="E161" i="10"/>
  <c r="D161" i="10"/>
  <c r="C161" i="10"/>
  <c r="I146" i="10"/>
  <c r="H146" i="10"/>
  <c r="G146" i="10"/>
  <c r="F146" i="10"/>
  <c r="E146" i="10"/>
  <c r="D146" i="10"/>
  <c r="C146" i="10"/>
  <c r="B144" i="10"/>
  <c r="B159" i="10" s="1"/>
  <c r="B174" i="10" s="1"/>
  <c r="B140" i="10"/>
  <c r="B155" i="10" s="1"/>
  <c r="B170" i="10" s="1"/>
  <c r="I131" i="10"/>
  <c r="H131" i="10"/>
  <c r="G131" i="10"/>
  <c r="F131" i="10"/>
  <c r="E131" i="10"/>
  <c r="D131" i="10"/>
  <c r="C131" i="10"/>
  <c r="B131" i="10"/>
  <c r="B146" i="10" s="1"/>
  <c r="B161" i="10" s="1"/>
  <c r="B176" i="10" s="1"/>
  <c r="B130" i="10"/>
  <c r="B145" i="10" s="1"/>
  <c r="B160" i="10" s="1"/>
  <c r="B175" i="10" s="1"/>
  <c r="B129" i="10"/>
  <c r="B128" i="10"/>
  <c r="B143" i="10" s="1"/>
  <c r="B158" i="10" s="1"/>
  <c r="B173" i="10" s="1"/>
  <c r="B127" i="10"/>
  <c r="B142" i="10" s="1"/>
  <c r="B157" i="10" s="1"/>
  <c r="B172" i="10" s="1"/>
  <c r="B126" i="10"/>
  <c r="B141" i="10" s="1"/>
  <c r="B156" i="10" s="1"/>
  <c r="B171" i="10" s="1"/>
  <c r="B125" i="10"/>
  <c r="B98" i="10"/>
  <c r="B97" i="10"/>
  <c r="B96" i="10"/>
  <c r="B95" i="10"/>
  <c r="C65" i="10"/>
  <c r="D65" i="10" s="1"/>
  <c r="E65" i="10" s="1"/>
  <c r="F65" i="10" s="1"/>
  <c r="G65" i="10" s="1"/>
  <c r="H65" i="10" s="1"/>
  <c r="I65" i="10" s="1"/>
  <c r="B37" i="10"/>
  <c r="B36" i="10"/>
  <c r="B35" i="10"/>
  <c r="B34" i="10"/>
  <c r="B33" i="10"/>
  <c r="B32" i="10"/>
  <c r="B9" i="9"/>
  <c r="H27" i="8"/>
  <c r="G27" i="8"/>
  <c r="F27" i="8"/>
  <c r="E27" i="8"/>
  <c r="D27" i="8"/>
  <c r="C27" i="8"/>
  <c r="B27" i="8"/>
  <c r="H43" i="7"/>
  <c r="I111" i="10" s="1"/>
  <c r="G43" i="7"/>
  <c r="H111" i="10" s="1"/>
  <c r="B33" i="7"/>
  <c r="B31" i="7"/>
  <c r="B30" i="7"/>
  <c r="B28" i="7"/>
  <c r="A23" i="7"/>
  <c r="A33" i="7" s="1"/>
  <c r="A22" i="7"/>
  <c r="A32" i="7" s="1"/>
  <c r="A21" i="7"/>
  <c r="A31" i="7" s="1"/>
  <c r="A20" i="7"/>
  <c r="A30" i="7" s="1"/>
  <c r="A19" i="7"/>
  <c r="A29" i="7" s="1"/>
  <c r="A18" i="7"/>
  <c r="A28" i="7" s="1"/>
  <c r="C52" i="6"/>
  <c r="C51" i="6"/>
  <c r="C50" i="6"/>
  <c r="C49" i="6"/>
  <c r="C48" i="6"/>
  <c r="C47" i="6"/>
  <c r="C17" i="6"/>
  <c r="C16" i="6"/>
  <c r="C15" i="6"/>
  <c r="V13" i="6"/>
  <c r="U13" i="6"/>
  <c r="O13" i="6"/>
  <c r="P13" i="6" s="1"/>
  <c r="Q13" i="6" s="1"/>
  <c r="R13" i="6" s="1"/>
  <c r="N13" i="6"/>
  <c r="V12" i="6"/>
  <c r="U12" i="6"/>
  <c r="O12" i="6"/>
  <c r="P12" i="6" s="1"/>
  <c r="Q12" i="6" s="1"/>
  <c r="R12" i="6" s="1"/>
  <c r="N12" i="6"/>
  <c r="U11" i="6"/>
  <c r="N11" i="6"/>
  <c r="V10" i="6"/>
  <c r="U10" i="6"/>
  <c r="O10" i="6"/>
  <c r="P10" i="6" s="1"/>
  <c r="Q10" i="6" s="1"/>
  <c r="R10" i="6" s="1"/>
  <c r="N10" i="6"/>
  <c r="V9" i="6"/>
  <c r="U9" i="6"/>
  <c r="O9" i="6"/>
  <c r="P9" i="6" s="1"/>
  <c r="Q9" i="6" s="1"/>
  <c r="N9" i="6"/>
  <c r="C9" i="6"/>
  <c r="V8" i="6"/>
  <c r="R8" i="6"/>
  <c r="Q8" i="6"/>
  <c r="P8" i="6"/>
  <c r="O8" i="6"/>
  <c r="I87" i="4"/>
  <c r="H87" i="4"/>
  <c r="A64" i="4"/>
  <c r="A63" i="4"/>
  <c r="A62" i="4"/>
  <c r="A61" i="4"/>
  <c r="E22" i="4"/>
  <c r="E21" i="4"/>
  <c r="E20" i="4"/>
  <c r="E19" i="4"/>
  <c r="E18" i="4"/>
  <c r="E17" i="4"/>
  <c r="E16" i="4"/>
  <c r="E15" i="4"/>
  <c r="E14" i="4"/>
  <c r="E13" i="4"/>
  <c r="E12" i="4"/>
  <c r="E11" i="4"/>
  <c r="E10" i="4"/>
  <c r="E9" i="4"/>
  <c r="E8" i="4"/>
  <c r="F4" i="4"/>
  <c r="D128" i="3"/>
  <c r="D10" i="2" s="1"/>
  <c r="F115" i="3"/>
  <c r="F111" i="3"/>
  <c r="F110" i="3"/>
  <c r="F101" i="3"/>
  <c r="F100" i="3"/>
  <c r="F99" i="3"/>
  <c r="F98" i="3"/>
  <c r="F97" i="3"/>
  <c r="F96" i="3"/>
  <c r="F87" i="3"/>
  <c r="F86" i="3"/>
  <c r="F85" i="3"/>
  <c r="F84" i="3"/>
  <c r="F83" i="3"/>
  <c r="F82" i="3"/>
  <c r="H71" i="3"/>
  <c r="B166" i="18" s="1"/>
  <c r="G70" i="3"/>
  <c r="G69" i="3"/>
  <c r="G68" i="3"/>
  <c r="G67" i="3"/>
  <c r="H65" i="3"/>
  <c r="B283" i="13" s="1"/>
  <c r="G63" i="3"/>
  <c r="G62" i="3"/>
  <c r="G59" i="3"/>
  <c r="G56" i="3"/>
  <c r="G49" i="3"/>
  <c r="G46" i="3"/>
  <c r="G45" i="3"/>
  <c r="G44" i="3"/>
  <c r="G43" i="3"/>
  <c r="G42" i="3"/>
  <c r="G41" i="3"/>
  <c r="G40" i="3"/>
  <c r="G39" i="3"/>
  <c r="G38" i="3"/>
  <c r="G37" i="3"/>
  <c r="G36" i="3"/>
  <c r="G35" i="3"/>
  <c r="G34" i="3"/>
  <c r="H32" i="3"/>
  <c r="G31" i="3"/>
  <c r="G30" i="3"/>
  <c r="G29" i="3"/>
  <c r="G28" i="3"/>
  <c r="G27" i="3"/>
  <c r="G26" i="3"/>
  <c r="G25" i="3"/>
  <c r="G24" i="3"/>
  <c r="G23" i="3"/>
  <c r="G22" i="3"/>
  <c r="G21" i="3"/>
  <c r="G11" i="3"/>
  <c r="G10" i="3"/>
  <c r="G9" i="3"/>
  <c r="G8" i="3"/>
  <c r="G7" i="3"/>
  <c r="M15" i="2"/>
  <c r="M17" i="2" s="1"/>
  <c r="C10" i="2"/>
  <c r="C9" i="2"/>
  <c r="C8" i="2"/>
  <c r="C7" i="2"/>
  <c r="C6" i="2"/>
  <c r="B16" i="9" s="1"/>
  <c r="C5" i="2"/>
  <c r="B15" i="9" s="1"/>
  <c r="G65" i="3" l="1"/>
  <c r="A30" i="18"/>
  <c r="A61" i="18" s="1"/>
  <c r="A122" i="18" s="1"/>
  <c r="A119" i="12"/>
  <c r="A50" i="17" s="1"/>
  <c r="B10" i="7"/>
  <c r="C157" i="10" s="1"/>
  <c r="E38" i="6"/>
  <c r="A29" i="18"/>
  <c r="A60" i="18" s="1"/>
  <c r="A121" i="18" s="1"/>
  <c r="A118" i="12"/>
  <c r="A49" i="17" s="1"/>
  <c r="D34" i="14"/>
  <c r="E33" i="14"/>
  <c r="F33" i="14" s="1"/>
  <c r="G33" i="14" s="1"/>
  <c r="A28" i="18"/>
  <c r="A59" i="18" s="1"/>
  <c r="A120" i="18" s="1"/>
  <c r="A117" i="12"/>
  <c r="A48" i="17" s="1"/>
  <c r="A76" i="12"/>
  <c r="A15" i="18" s="1"/>
  <c r="A46" i="18" s="1"/>
  <c r="A75" i="18" s="1"/>
  <c r="A80" i="12"/>
  <c r="A19" i="18" s="1"/>
  <c r="A50" i="18" s="1"/>
  <c r="A91" i="18" s="1"/>
  <c r="A84" i="12"/>
  <c r="A23" i="18" s="1"/>
  <c r="A54" i="18" s="1"/>
  <c r="A106" i="18" s="1"/>
  <c r="A88" i="12"/>
  <c r="A92" i="12"/>
  <c r="E280" i="13"/>
  <c r="C34" i="14"/>
  <c r="A93" i="12"/>
  <c r="A32" i="18" s="1"/>
  <c r="E86" i="4"/>
  <c r="D43" i="7" s="1"/>
  <c r="D112" i="4"/>
  <c r="J12" i="10"/>
  <c r="C89" i="13"/>
  <c r="A96" i="12"/>
  <c r="A35" i="18" s="1"/>
  <c r="A63" i="18" s="1"/>
  <c r="A127" i="18" s="1"/>
  <c r="D89" i="13"/>
  <c r="H89" i="13"/>
  <c r="H141" i="13" s="1"/>
  <c r="E222" i="13"/>
  <c r="F133" i="14"/>
  <c r="G133" i="14" s="1"/>
  <c r="H133" i="14" s="1"/>
  <c r="C10" i="15"/>
  <c r="E21" i="15" s="1"/>
  <c r="E23" i="15" s="1"/>
  <c r="E37" i="15"/>
  <c r="E43" i="15" s="1"/>
  <c r="C30" i="7" s="1"/>
  <c r="F102" i="3"/>
  <c r="E279" i="13"/>
  <c r="G89" i="13"/>
  <c r="E255" i="13"/>
  <c r="F17" i="15"/>
  <c r="D8" i="2"/>
  <c r="F8" i="2" s="1"/>
  <c r="F86" i="4"/>
  <c r="E43" i="7" s="1"/>
  <c r="G97" i="10" s="1"/>
  <c r="G86" i="4"/>
  <c r="F43" i="7" s="1"/>
  <c r="F10" i="2"/>
  <c r="C86" i="4"/>
  <c r="C87" i="4" s="1"/>
  <c r="F116" i="3"/>
  <c r="D9" i="2" s="1"/>
  <c r="F9" i="2" s="1"/>
  <c r="E221" i="13"/>
  <c r="G71" i="3"/>
  <c r="C23" i="11"/>
  <c r="D27" i="11" s="1"/>
  <c r="D14" i="11"/>
  <c r="B92" i="11" s="1"/>
  <c r="D15" i="11"/>
  <c r="F15" i="11" s="1"/>
  <c r="H15" i="11" s="1"/>
  <c r="E23" i="4"/>
  <c r="B35" i="7" s="1"/>
  <c r="G32" i="3"/>
  <c r="G12" i="3"/>
  <c r="D5" i="2" s="1"/>
  <c r="I6" i="3" s="1"/>
  <c r="I7" i="3" s="1"/>
  <c r="O11" i="6"/>
  <c r="F22" i="4"/>
  <c r="F18" i="4"/>
  <c r="F14" i="4"/>
  <c r="F10" i="4"/>
  <c r="G4" i="4"/>
  <c r="F20" i="4"/>
  <c r="F16" i="4"/>
  <c r="F12" i="4"/>
  <c r="F8" i="4"/>
  <c r="F9" i="4"/>
  <c r="F11" i="4"/>
  <c r="F13" i="4"/>
  <c r="F15" i="4"/>
  <c r="F17" i="4"/>
  <c r="F19" i="4"/>
  <c r="F21" i="4"/>
  <c r="H73" i="3"/>
  <c r="F88" i="3"/>
  <c r="D7" i="2" s="1"/>
  <c r="R9" i="6"/>
  <c r="V11" i="6"/>
  <c r="V16" i="6" s="1"/>
  <c r="G47" i="3"/>
  <c r="E87" i="4"/>
  <c r="H61" i="10"/>
  <c r="I97" i="10"/>
  <c r="D31" i="11"/>
  <c r="A11" i="13"/>
  <c r="A68" i="13" s="1"/>
  <c r="A120" i="13" s="1"/>
  <c r="A233" i="13" s="1"/>
  <c r="A67" i="11"/>
  <c r="A13" i="13"/>
  <c r="A70" i="13" s="1"/>
  <c r="A122" i="13" s="1"/>
  <c r="A235" i="13" s="1"/>
  <c r="A69" i="11"/>
  <c r="A15" i="13"/>
  <c r="A72" i="13" s="1"/>
  <c r="A124" i="13" s="1"/>
  <c r="A237" i="13" s="1"/>
  <c r="A71" i="11"/>
  <c r="A17" i="13"/>
  <c r="A74" i="13" s="1"/>
  <c r="A126" i="13" s="1"/>
  <c r="A184" i="13" s="1"/>
  <c r="A239" i="13" s="1"/>
  <c r="A73" i="11"/>
  <c r="A19" i="13"/>
  <c r="A76" i="13" s="1"/>
  <c r="A128" i="13" s="1"/>
  <c r="A186" i="13" s="1"/>
  <c r="A241" i="13" s="1"/>
  <c r="A75" i="11"/>
  <c r="A21" i="13"/>
  <c r="A78" i="13" s="1"/>
  <c r="A130" i="13" s="1"/>
  <c r="A188" i="13" s="1"/>
  <c r="A243" i="13" s="1"/>
  <c r="A77" i="11"/>
  <c r="A23" i="13"/>
  <c r="A80" i="13" s="1"/>
  <c r="A132" i="13" s="1"/>
  <c r="A190" i="13" s="1"/>
  <c r="A245" i="13" s="1"/>
  <c r="A79" i="11"/>
  <c r="A25" i="13"/>
  <c r="A82" i="13" s="1"/>
  <c r="A134" i="13" s="1"/>
  <c r="A192" i="13" s="1"/>
  <c r="A247" i="13" s="1"/>
  <c r="A81" i="11"/>
  <c r="A27" i="13"/>
  <c r="A84" i="13" s="1"/>
  <c r="A136" i="13" s="1"/>
  <c r="A194" i="13" s="1"/>
  <c r="A249" i="13" s="1"/>
  <c r="A83" i="11"/>
  <c r="A29" i="13"/>
  <c r="A86" i="13" s="1"/>
  <c r="A138" i="13" s="1"/>
  <c r="A196" i="13" s="1"/>
  <c r="A251" i="13" s="1"/>
  <c r="A85" i="11"/>
  <c r="A31" i="13"/>
  <c r="A88" i="13" s="1"/>
  <c r="A140" i="13" s="1"/>
  <c r="A198" i="13" s="1"/>
  <c r="A253" i="13" s="1"/>
  <c r="A87" i="11"/>
  <c r="A112" i="11" s="1"/>
  <c r="A30" i="17" s="1"/>
  <c r="B105" i="12"/>
  <c r="F17" i="12"/>
  <c r="H17" i="12" s="1"/>
  <c r="D35" i="12"/>
  <c r="D34" i="12"/>
  <c r="D33" i="12"/>
  <c r="A124" i="12"/>
  <c r="A55" i="17" s="1"/>
  <c r="D86" i="4"/>
  <c r="C127" i="10"/>
  <c r="C34" i="10"/>
  <c r="C142" i="10"/>
  <c r="C20" i="9"/>
  <c r="I12" i="10"/>
  <c r="I61" i="10"/>
  <c r="J97" i="10"/>
  <c r="B97" i="11"/>
  <c r="F19" i="11"/>
  <c r="H19" i="11" s="1"/>
  <c r="C30" i="17"/>
  <c r="C83" i="17" s="1"/>
  <c r="C113" i="11"/>
  <c r="A36" i="18"/>
  <c r="A64" i="18" s="1"/>
  <c r="A131" i="18" s="1"/>
  <c r="A125" i="12"/>
  <c r="A56" i="17" s="1"/>
  <c r="A12" i="13"/>
  <c r="A69" i="13" s="1"/>
  <c r="A121" i="13" s="1"/>
  <c r="A234" i="13" s="1"/>
  <c r="A68" i="11"/>
  <c r="A14" i="13"/>
  <c r="A71" i="13" s="1"/>
  <c r="A123" i="13" s="1"/>
  <c r="A236" i="13" s="1"/>
  <c r="A70" i="11"/>
  <c r="A16" i="13"/>
  <c r="A73" i="13" s="1"/>
  <c r="A125" i="13" s="1"/>
  <c r="A183" i="13" s="1"/>
  <c r="A238" i="13" s="1"/>
  <c r="A72" i="11"/>
  <c r="A18" i="13"/>
  <c r="A75" i="13" s="1"/>
  <c r="A127" i="13" s="1"/>
  <c r="A185" i="13" s="1"/>
  <c r="A240" i="13" s="1"/>
  <c r="A74" i="11"/>
  <c r="A20" i="13"/>
  <c r="A77" i="13" s="1"/>
  <c r="A129" i="13" s="1"/>
  <c r="A187" i="13" s="1"/>
  <c r="A242" i="13" s="1"/>
  <c r="A76" i="11"/>
  <c r="A22" i="13"/>
  <c r="A79" i="13" s="1"/>
  <c r="A131" i="13" s="1"/>
  <c r="A189" i="13" s="1"/>
  <c r="A244" i="13" s="1"/>
  <c r="A78" i="11"/>
  <c r="A24" i="13"/>
  <c r="A81" i="13" s="1"/>
  <c r="A133" i="13" s="1"/>
  <c r="A191" i="13" s="1"/>
  <c r="A246" i="13" s="1"/>
  <c r="A80" i="11"/>
  <c r="A26" i="13"/>
  <c r="A83" i="13" s="1"/>
  <c r="A135" i="13" s="1"/>
  <c r="A193" i="13" s="1"/>
  <c r="A248" i="13" s="1"/>
  <c r="A82" i="11"/>
  <c r="A28" i="13"/>
  <c r="A85" i="13" s="1"/>
  <c r="A137" i="13" s="1"/>
  <c r="A195" i="13" s="1"/>
  <c r="A250" i="13" s="1"/>
  <c r="A84" i="11"/>
  <c r="A30" i="13"/>
  <c r="A87" i="13" s="1"/>
  <c r="A139" i="13" s="1"/>
  <c r="A197" i="13" s="1"/>
  <c r="A252" i="13" s="1"/>
  <c r="A86" i="11"/>
  <c r="A111" i="11" s="1"/>
  <c r="A29" i="17" s="1"/>
  <c r="D36" i="12"/>
  <c r="A37" i="18"/>
  <c r="A65" i="18" s="1"/>
  <c r="A135" i="18" s="1"/>
  <c r="A126" i="12"/>
  <c r="A57" i="17" s="1"/>
  <c r="D254" i="13"/>
  <c r="B141" i="13"/>
  <c r="D199" i="13" s="1"/>
  <c r="C172" i="10"/>
  <c r="D20" i="11"/>
  <c r="D16" i="11"/>
  <c r="D21" i="11"/>
  <c r="D17" i="11"/>
  <c r="C32" i="11"/>
  <c r="D22" i="11"/>
  <c r="D18" i="11"/>
  <c r="D39" i="12"/>
  <c r="C23" i="12"/>
  <c r="D19" i="12"/>
  <c r="D15" i="12"/>
  <c r="D14" i="12"/>
  <c r="D22" i="12"/>
  <c r="D20" i="12"/>
  <c r="D37" i="12"/>
  <c r="D18" i="12"/>
  <c r="D16" i="12"/>
  <c r="D40" i="12"/>
  <c r="D21" i="12"/>
  <c r="D38" i="12"/>
  <c r="A13" i="18"/>
  <c r="A44" i="18" s="1"/>
  <c r="A67" i="18" s="1"/>
  <c r="A102" i="12"/>
  <c r="A33" i="17" s="1"/>
  <c r="A34" i="18"/>
  <c r="A62" i="18" s="1"/>
  <c r="A123" i="18" s="1"/>
  <c r="A123" i="12"/>
  <c r="A54" i="17" s="1"/>
  <c r="C141" i="13"/>
  <c r="E254" i="13"/>
  <c r="G141" i="13"/>
  <c r="E141" i="13"/>
  <c r="A103" i="12"/>
  <c r="A34" i="17" s="1"/>
  <c r="A104" i="12"/>
  <c r="A35" i="17" s="1"/>
  <c r="A105" i="12"/>
  <c r="A36" i="17" s="1"/>
  <c r="A106" i="12"/>
  <c r="A37" i="17" s="1"/>
  <c r="A107" i="12"/>
  <c r="A38" i="17" s="1"/>
  <c r="A109" i="12"/>
  <c r="A40" i="17" s="1"/>
  <c r="A110" i="12"/>
  <c r="A41" i="17" s="1"/>
  <c r="A111" i="12"/>
  <c r="A42" i="17" s="1"/>
  <c r="A112" i="12"/>
  <c r="A43" i="17" s="1"/>
  <c r="A113" i="12"/>
  <c r="A44" i="17" s="1"/>
  <c r="A114" i="12"/>
  <c r="A45" i="17" s="1"/>
  <c r="A115" i="12"/>
  <c r="A46" i="17" s="1"/>
  <c r="A169" i="17"/>
  <c r="A236" i="17" s="1"/>
  <c r="A101" i="17"/>
  <c r="A102" i="17"/>
  <c r="A170" i="17"/>
  <c r="A237" i="17" s="1"/>
  <c r="A103" i="17"/>
  <c r="A171" i="17"/>
  <c r="A238" i="17" s="1"/>
  <c r="A121" i="12"/>
  <c r="A52" i="17" s="1"/>
  <c r="F141" i="13"/>
  <c r="D10" i="15"/>
  <c r="F21" i="15" s="1"/>
  <c r="F23" i="15" s="1"/>
  <c r="E9" i="15"/>
  <c r="A94" i="12"/>
  <c r="D141" i="13"/>
  <c r="C28" i="16"/>
  <c r="J8" i="16"/>
  <c r="C30" i="16"/>
  <c r="J10" i="16"/>
  <c r="C32" i="16"/>
  <c r="J12" i="16"/>
  <c r="G44" i="16"/>
  <c r="F44" i="16"/>
  <c r="E44" i="16"/>
  <c r="F221" i="13"/>
  <c r="E37" i="16"/>
  <c r="E33" i="16"/>
  <c r="F37" i="15"/>
  <c r="F43" i="15" s="1"/>
  <c r="D30" i="7" s="1"/>
  <c r="F27" i="15"/>
  <c r="G17" i="15"/>
  <c r="G29" i="15" s="1"/>
  <c r="F29" i="15"/>
  <c r="C29" i="16"/>
  <c r="F34" i="16"/>
  <c r="E34" i="16"/>
  <c r="F38" i="16"/>
  <c r="E38" i="16"/>
  <c r="A152" i="17"/>
  <c r="A219" i="17" s="1"/>
  <c r="A84" i="17"/>
  <c r="F172" i="13"/>
  <c r="F223" i="13" s="1"/>
  <c r="F28" i="15"/>
  <c r="G52" i="16"/>
  <c r="G56" i="16" s="1"/>
  <c r="D31" i="7" s="1"/>
  <c r="H23" i="16"/>
  <c r="H35" i="16" s="1"/>
  <c r="C31" i="16"/>
  <c r="A153" i="17"/>
  <c r="A220" i="17" s="1"/>
  <c r="A85" i="17"/>
  <c r="G35" i="16"/>
  <c r="D219" i="17"/>
  <c r="D152" i="17"/>
  <c r="D29" i="15"/>
  <c r="D34" i="15" s="1"/>
  <c r="F33" i="16"/>
  <c r="G36" i="16"/>
  <c r="F37" i="16"/>
  <c r="E219" i="17"/>
  <c r="E152" i="17"/>
  <c r="E29" i="15"/>
  <c r="E34" i="15" s="1"/>
  <c r="G33" i="16"/>
  <c r="E35" i="16"/>
  <c r="G37" i="16"/>
  <c r="A147" i="17"/>
  <c r="A214" i="17" s="1"/>
  <c r="A79" i="17"/>
  <c r="F219" i="17"/>
  <c r="F152" i="17"/>
  <c r="D41" i="18"/>
  <c r="E40" i="18"/>
  <c r="E268" i="17"/>
  <c r="E243" i="17"/>
  <c r="E265" i="17"/>
  <c r="E273" i="17" s="1"/>
  <c r="C32" i="7" s="1"/>
  <c r="E266" i="17"/>
  <c r="E267" i="17"/>
  <c r="E214" i="17"/>
  <c r="E205" i="17"/>
  <c r="F124" i="17"/>
  <c r="D273" i="17"/>
  <c r="B32" i="7" s="1"/>
  <c r="C41" i="18"/>
  <c r="C44" i="18" s="1"/>
  <c r="F149" i="18"/>
  <c r="E181" i="18"/>
  <c r="E180" i="18"/>
  <c r="F61" i="10" l="1"/>
  <c r="F34" i="14"/>
  <c r="E112" i="4"/>
  <c r="E113" i="4" s="1"/>
  <c r="E114" i="4" s="1"/>
  <c r="E115" i="4" s="1"/>
  <c r="E116" i="4" s="1"/>
  <c r="F172" i="14"/>
  <c r="F177" i="14" s="1"/>
  <c r="D29" i="7" s="1"/>
  <c r="A108" i="12"/>
  <c r="A39" i="17" s="1"/>
  <c r="A31" i="18"/>
  <c r="A120" i="12"/>
  <c r="A51" i="17" s="1"/>
  <c r="H36" i="16"/>
  <c r="H38" i="16"/>
  <c r="G172" i="14"/>
  <c r="G177" i="14" s="1"/>
  <c r="E29" i="7" s="1"/>
  <c r="A27" i="18"/>
  <c r="A58" i="18" s="1"/>
  <c r="A119" i="18" s="1"/>
  <c r="A116" i="12"/>
  <c r="A47" i="17" s="1"/>
  <c r="C43" i="16"/>
  <c r="B36" i="7"/>
  <c r="C179" i="10" s="1"/>
  <c r="E34" i="14"/>
  <c r="E199" i="13"/>
  <c r="C10" i="7"/>
  <c r="F38" i="6"/>
  <c r="C61" i="4"/>
  <c r="F62" i="4" s="1"/>
  <c r="C18" i="9"/>
  <c r="F87" i="4"/>
  <c r="G12" i="10"/>
  <c r="F111" i="10"/>
  <c r="B43" i="7"/>
  <c r="D97" i="10" s="1"/>
  <c r="G87" i="4"/>
  <c r="C55" i="4"/>
  <c r="F56" i="4" s="1"/>
  <c r="C15" i="9"/>
  <c r="C19" i="9"/>
  <c r="C37" i="4"/>
  <c r="C38" i="4" s="1"/>
  <c r="C39" i="4" s="1"/>
  <c r="F5" i="2"/>
  <c r="D29" i="11"/>
  <c r="F29" i="11" s="1"/>
  <c r="H29" i="11" s="1"/>
  <c r="B18" i="8"/>
  <c r="F14" i="11"/>
  <c r="H14" i="11" s="1"/>
  <c r="B67" i="11" s="1"/>
  <c r="M14" i="11"/>
  <c r="D24" i="11"/>
  <c r="B101" i="11" s="1"/>
  <c r="D26" i="11"/>
  <c r="F26" i="11" s="1"/>
  <c r="H26" i="11" s="1"/>
  <c r="D28" i="11"/>
  <c r="B105" i="11" s="1"/>
  <c r="D30" i="11"/>
  <c r="B107" i="11" s="1"/>
  <c r="D25" i="11"/>
  <c r="F25" i="11" s="1"/>
  <c r="H25" i="11" s="1"/>
  <c r="K14" i="11"/>
  <c r="J14" i="11"/>
  <c r="B93" i="11"/>
  <c r="C10" i="17" s="1"/>
  <c r="C63" i="17" s="1"/>
  <c r="N14" i="11"/>
  <c r="L14" i="11"/>
  <c r="E45" i="15"/>
  <c r="E47" i="15" s="1"/>
  <c r="C20" i="7"/>
  <c r="F51" i="6"/>
  <c r="H30" i="16"/>
  <c r="G30" i="16"/>
  <c r="F30" i="16"/>
  <c r="E30" i="16"/>
  <c r="D10" i="7"/>
  <c r="G38" i="6"/>
  <c r="A105" i="17"/>
  <c r="A173" i="17"/>
  <c r="A98" i="17"/>
  <c r="A166" i="17"/>
  <c r="A233" i="17" s="1"/>
  <c r="A94" i="17"/>
  <c r="A162" i="17"/>
  <c r="A229" i="17" s="1"/>
  <c r="A90" i="17"/>
  <c r="A158" i="17"/>
  <c r="A225" i="17" s="1"/>
  <c r="F16" i="12"/>
  <c r="H16" i="12" s="1"/>
  <c r="B104" i="12"/>
  <c r="B110" i="12"/>
  <c r="F22" i="12"/>
  <c r="H22" i="12" s="1"/>
  <c r="D29" i="12"/>
  <c r="D25" i="12"/>
  <c r="D28" i="12"/>
  <c r="D26" i="12"/>
  <c r="D31" i="12"/>
  <c r="D24" i="12"/>
  <c r="D27" i="12"/>
  <c r="D30" i="12"/>
  <c r="D36" i="11"/>
  <c r="D33" i="11"/>
  <c r="D34" i="11"/>
  <c r="D35" i="11"/>
  <c r="F35" i="11" s="1"/>
  <c r="H35" i="11" s="1"/>
  <c r="B98" i="11"/>
  <c r="F20" i="11"/>
  <c r="H20" i="11" s="1"/>
  <c r="A30" i="14"/>
  <c r="A54" i="14" s="1"/>
  <c r="A115" i="14" s="1"/>
  <c r="A109" i="11"/>
  <c r="A27" i="17" s="1"/>
  <c r="A26" i="14"/>
  <c r="A50" i="14" s="1"/>
  <c r="A103" i="14" s="1"/>
  <c r="A105" i="11"/>
  <c r="A22" i="17" s="1"/>
  <c r="A22" i="14"/>
  <c r="A46" i="14" s="1"/>
  <c r="A91" i="14" s="1"/>
  <c r="A101" i="11"/>
  <c r="A18" i="17" s="1"/>
  <c r="A18" i="14"/>
  <c r="A42" i="14" s="1"/>
  <c r="A77" i="14" s="1"/>
  <c r="A97" i="11"/>
  <c r="A14" i="17" s="1"/>
  <c r="A14" i="14"/>
  <c r="A38" i="14" s="1"/>
  <c r="A62" i="14" s="1"/>
  <c r="A93" i="11"/>
  <c r="A10" i="17" s="1"/>
  <c r="A109" i="17"/>
  <c r="A177" i="17"/>
  <c r="A241" i="17" s="1"/>
  <c r="C43" i="7"/>
  <c r="D87" i="4"/>
  <c r="B120" i="12"/>
  <c r="F34" i="12"/>
  <c r="H34" i="12" s="1"/>
  <c r="A151" i="17"/>
  <c r="A218" i="17" s="1"/>
  <c r="A83" i="17"/>
  <c r="A29" i="14"/>
  <c r="A53" i="14" s="1"/>
  <c r="A112" i="14" s="1"/>
  <c r="A108" i="11"/>
  <c r="A25" i="17" s="1"/>
  <c r="A25" i="14"/>
  <c r="A49" i="14" s="1"/>
  <c r="A100" i="14" s="1"/>
  <c r="A104" i="11"/>
  <c r="A21" i="17" s="1"/>
  <c r="A21" i="14"/>
  <c r="A45" i="14" s="1"/>
  <c r="A87" i="14" s="1"/>
  <c r="A100" i="11"/>
  <c r="A17" i="14"/>
  <c r="A41" i="14" s="1"/>
  <c r="A72" i="14" s="1"/>
  <c r="A96" i="11"/>
  <c r="A13" i="17" s="1"/>
  <c r="A13" i="14"/>
  <c r="A37" i="14" s="1"/>
  <c r="A58" i="14" s="1"/>
  <c r="A92" i="11"/>
  <c r="A9" i="17" s="1"/>
  <c r="F7" i="2"/>
  <c r="C17" i="9"/>
  <c r="C49" i="4"/>
  <c r="P11" i="6"/>
  <c r="O16" i="6"/>
  <c r="I56" i="4"/>
  <c r="E41" i="18"/>
  <c r="F40" i="18"/>
  <c r="G34" i="14"/>
  <c r="H33" i="14"/>
  <c r="H34" i="14" s="1"/>
  <c r="A33" i="18"/>
  <c r="A122" i="12"/>
  <c r="A53" i="17" s="1"/>
  <c r="F180" i="18"/>
  <c r="F181" i="18"/>
  <c r="G149" i="18"/>
  <c r="F31" i="16"/>
  <c r="E31" i="16"/>
  <c r="H31" i="16"/>
  <c r="G31" i="16"/>
  <c r="G43" i="16"/>
  <c r="G49" i="16" s="1"/>
  <c r="F43" i="16"/>
  <c r="F49" i="16" s="1"/>
  <c r="E43" i="16"/>
  <c r="E49" i="16" s="1"/>
  <c r="H43" i="16"/>
  <c r="H49" i="16" s="1"/>
  <c r="A161" i="17"/>
  <c r="A228" i="17" s="1"/>
  <c r="A93" i="17"/>
  <c r="A107" i="17"/>
  <c r="A175" i="17"/>
  <c r="A239" i="17" s="1"/>
  <c r="B106" i="12"/>
  <c r="F18" i="12"/>
  <c r="H18" i="12" s="1"/>
  <c r="K14" i="12"/>
  <c r="E74" i="12" s="1"/>
  <c r="E13" i="18" s="1"/>
  <c r="B102" i="12"/>
  <c r="N14" i="12"/>
  <c r="H74" i="12" s="1"/>
  <c r="H13" i="18" s="1"/>
  <c r="M14" i="12"/>
  <c r="G74" i="12" s="1"/>
  <c r="G13" i="18" s="1"/>
  <c r="F14" i="12"/>
  <c r="H14" i="12" s="1"/>
  <c r="L14" i="12"/>
  <c r="F74" i="12" s="1"/>
  <c r="F13" i="18" s="1"/>
  <c r="J14" i="12"/>
  <c r="D74" i="12" s="1"/>
  <c r="D13" i="18" s="1"/>
  <c r="B125" i="12"/>
  <c r="F39" i="12"/>
  <c r="H39" i="12" s="1"/>
  <c r="B95" i="11"/>
  <c r="F17" i="11"/>
  <c r="H17" i="11" s="1"/>
  <c r="F36" i="12"/>
  <c r="H36" i="12" s="1"/>
  <c r="B122" i="12"/>
  <c r="B72" i="11"/>
  <c r="B47" i="11"/>
  <c r="A108" i="17"/>
  <c r="A176" i="17"/>
  <c r="A240" i="17" s="1"/>
  <c r="B121" i="12"/>
  <c r="F35" i="12"/>
  <c r="H35" i="12" s="1"/>
  <c r="B104" i="11"/>
  <c r="F27" i="11"/>
  <c r="H27" i="11" s="1"/>
  <c r="D45" i="15"/>
  <c r="D47" i="15" s="1"/>
  <c r="B20" i="7"/>
  <c r="E51" i="6"/>
  <c r="G37" i="15"/>
  <c r="G43" i="15" s="1"/>
  <c r="E30" i="7" s="1"/>
  <c r="G27" i="15"/>
  <c r="H17" i="15"/>
  <c r="G28" i="15"/>
  <c r="A165" i="17"/>
  <c r="A232" i="17" s="1"/>
  <c r="A97" i="17"/>
  <c r="A157" i="17"/>
  <c r="A224" i="17" s="1"/>
  <c r="A89" i="17"/>
  <c r="B124" i="12"/>
  <c r="F38" i="12"/>
  <c r="H38" i="12" s="1"/>
  <c r="F265" i="17"/>
  <c r="F266" i="17"/>
  <c r="F267" i="17"/>
  <c r="F268" i="17"/>
  <c r="F243" i="17"/>
  <c r="F205" i="17"/>
  <c r="F214" i="17"/>
  <c r="G124" i="17"/>
  <c r="H52" i="16"/>
  <c r="H56" i="16" s="1"/>
  <c r="E31" i="7" s="1"/>
  <c r="I23" i="16"/>
  <c r="I30" i="16" s="1"/>
  <c r="H37" i="16"/>
  <c r="H33" i="16"/>
  <c r="F294" i="13"/>
  <c r="F301" i="13" s="1"/>
  <c r="D28" i="7" s="1"/>
  <c r="F280" i="13"/>
  <c r="F279" i="13"/>
  <c r="G172" i="13"/>
  <c r="F255" i="13"/>
  <c r="H34" i="16"/>
  <c r="F34" i="15"/>
  <c r="I133" i="14"/>
  <c r="H172" i="14"/>
  <c r="H177" i="14" s="1"/>
  <c r="F29" i="7" s="1"/>
  <c r="H44" i="16"/>
  <c r="H32" i="16"/>
  <c r="G32" i="16"/>
  <c r="F32" i="16"/>
  <c r="I32" i="16"/>
  <c r="E32" i="16"/>
  <c r="H28" i="16"/>
  <c r="G28" i="16"/>
  <c r="F28" i="16"/>
  <c r="E28" i="16"/>
  <c r="F222" i="13"/>
  <c r="F254" i="13"/>
  <c r="A96" i="17"/>
  <c r="A164" i="17"/>
  <c r="A231" i="17" s="1"/>
  <c r="A92" i="17"/>
  <c r="A160" i="17"/>
  <c r="A227" i="17" s="1"/>
  <c r="A88" i="17"/>
  <c r="A156" i="17"/>
  <c r="A223" i="17" s="1"/>
  <c r="B109" i="12"/>
  <c r="F21" i="12"/>
  <c r="H21" i="12" s="1"/>
  <c r="B123" i="12"/>
  <c r="F37" i="12"/>
  <c r="H37" i="12" s="1"/>
  <c r="B103" i="12"/>
  <c r="F15" i="12"/>
  <c r="H15" i="12" s="1"/>
  <c r="B96" i="11"/>
  <c r="F18" i="11"/>
  <c r="H18" i="11" s="1"/>
  <c r="B99" i="11"/>
  <c r="F21" i="11"/>
  <c r="H21" i="11" s="1"/>
  <c r="A150" i="17"/>
  <c r="A217" i="17" s="1"/>
  <c r="A82" i="17"/>
  <c r="A28" i="14"/>
  <c r="A52" i="14" s="1"/>
  <c r="A109" i="14" s="1"/>
  <c r="A107" i="11"/>
  <c r="A24" i="17" s="1"/>
  <c r="A24" i="14"/>
  <c r="A48" i="14" s="1"/>
  <c r="A97" i="14" s="1"/>
  <c r="A103" i="11"/>
  <c r="A20" i="17" s="1"/>
  <c r="A20" i="14"/>
  <c r="A44" i="14" s="1"/>
  <c r="A83" i="14" s="1"/>
  <c r="A99" i="11"/>
  <c r="A16" i="17" s="1"/>
  <c r="A16" i="14"/>
  <c r="A40" i="14" s="1"/>
  <c r="A69" i="14" s="1"/>
  <c r="A95" i="11"/>
  <c r="A12" i="17" s="1"/>
  <c r="B68" i="11"/>
  <c r="B43" i="11"/>
  <c r="D30" i="17"/>
  <c r="D83" i="17" s="1"/>
  <c r="D113" i="11"/>
  <c r="C14" i="17"/>
  <c r="C67" i="17" s="1"/>
  <c r="C97" i="11"/>
  <c r="B49" i="12"/>
  <c r="B77" i="12"/>
  <c r="A31" i="14"/>
  <c r="A55" i="14" s="1"/>
  <c r="A118" i="14" s="1"/>
  <c r="A110" i="11"/>
  <c r="A28" i="17" s="1"/>
  <c r="A27" i="14"/>
  <c r="A51" i="14" s="1"/>
  <c r="A106" i="14" s="1"/>
  <c r="A106" i="11"/>
  <c r="A23" i="17" s="1"/>
  <c r="A23" i="14"/>
  <c r="A47" i="14" s="1"/>
  <c r="A94" i="14" s="1"/>
  <c r="A102" i="11"/>
  <c r="A19" i="17" s="1"/>
  <c r="A19" i="14"/>
  <c r="A43" i="14" s="1"/>
  <c r="A80" i="14" s="1"/>
  <c r="A98" i="11"/>
  <c r="A15" i="17" s="1"/>
  <c r="A15" i="14"/>
  <c r="A39" i="14" s="1"/>
  <c r="A65" i="14" s="1"/>
  <c r="A94" i="11"/>
  <c r="A11" i="17" s="1"/>
  <c r="B108" i="11"/>
  <c r="F31" i="11"/>
  <c r="H31" i="11" s="1"/>
  <c r="C9" i="17"/>
  <c r="C62" i="17" s="1"/>
  <c r="C92" i="11"/>
  <c r="E185" i="18"/>
  <c r="C33" i="7" s="1"/>
  <c r="F29" i="16"/>
  <c r="I29" i="16"/>
  <c r="E29" i="16"/>
  <c r="H29" i="16"/>
  <c r="G29" i="16"/>
  <c r="F199" i="13"/>
  <c r="E10" i="15"/>
  <c r="G21" i="15" s="1"/>
  <c r="G23" i="15" s="1"/>
  <c r="F9" i="15"/>
  <c r="A167" i="17"/>
  <c r="A234" i="17" s="1"/>
  <c r="A99" i="17"/>
  <c r="A163" i="17"/>
  <c r="A230" i="17" s="1"/>
  <c r="A95" i="17"/>
  <c r="A159" i="17"/>
  <c r="A226" i="17" s="1"/>
  <c r="A91" i="17"/>
  <c r="A155" i="17"/>
  <c r="A222" i="17" s="1"/>
  <c r="A87" i="17"/>
  <c r="G199" i="13"/>
  <c r="A86" i="17"/>
  <c r="A154" i="17"/>
  <c r="A221" i="17" s="1"/>
  <c r="F40" i="12"/>
  <c r="H40" i="12" s="1"/>
  <c r="B126" i="12"/>
  <c r="F20" i="12"/>
  <c r="H20" i="12" s="1"/>
  <c r="B108" i="12"/>
  <c r="B107" i="12"/>
  <c r="F19" i="12"/>
  <c r="H19" i="12" s="1"/>
  <c r="B100" i="11"/>
  <c r="C100" i="11" s="1"/>
  <c r="D100" i="11" s="1"/>
  <c r="E100" i="11" s="1"/>
  <c r="F100" i="11" s="1"/>
  <c r="G100" i="11" s="1"/>
  <c r="H100" i="11" s="1"/>
  <c r="F22" i="11"/>
  <c r="H22" i="11" s="1"/>
  <c r="B94" i="11"/>
  <c r="F16" i="11"/>
  <c r="H16" i="11" s="1"/>
  <c r="A110" i="17"/>
  <c r="A178" i="17"/>
  <c r="A242" i="17" s="1"/>
  <c r="D218" i="17"/>
  <c r="D151" i="17"/>
  <c r="B119" i="12"/>
  <c r="F33" i="12"/>
  <c r="H33" i="12" s="1"/>
  <c r="C36" i="17"/>
  <c r="C89" i="17" s="1"/>
  <c r="C105" i="12"/>
  <c r="H97" i="10"/>
  <c r="G111" i="10"/>
  <c r="G61" i="10"/>
  <c r="H12" i="10"/>
  <c r="F97" i="10"/>
  <c r="F12" i="10"/>
  <c r="E61" i="10"/>
  <c r="E111" i="10"/>
  <c r="G73" i="3"/>
  <c r="D6" i="2" s="1"/>
  <c r="F23" i="4"/>
  <c r="C35" i="7" s="1"/>
  <c r="G19" i="4"/>
  <c r="G15" i="4"/>
  <c r="G11" i="4"/>
  <c r="G21" i="4"/>
  <c r="G17" i="4"/>
  <c r="G13" i="4"/>
  <c r="G9" i="4"/>
  <c r="G20" i="4"/>
  <c r="G18" i="4"/>
  <c r="G14" i="4"/>
  <c r="G12" i="4"/>
  <c r="G10" i="4"/>
  <c r="G8" i="4"/>
  <c r="H4" i="4"/>
  <c r="G22" i="4"/>
  <c r="G16" i="4"/>
  <c r="M55" i="4" l="1"/>
  <c r="D56" i="4"/>
  <c r="E56" i="4"/>
  <c r="G56" i="4"/>
  <c r="H56" i="4"/>
  <c r="C56" i="4"/>
  <c r="C57" i="4" s="1"/>
  <c r="D57" i="4" s="1"/>
  <c r="D113" i="4"/>
  <c r="F113" i="4" s="1"/>
  <c r="F112" i="4"/>
  <c r="C134" i="10"/>
  <c r="C164" i="10"/>
  <c r="B106" i="11"/>
  <c r="F28" i="11"/>
  <c r="H28" i="11" s="1"/>
  <c r="F24" i="11"/>
  <c r="H24" i="11" s="1"/>
  <c r="B76" i="11" s="1"/>
  <c r="B102" i="11"/>
  <c r="C19" i="17" s="1"/>
  <c r="C72" i="17" s="1"/>
  <c r="C23" i="9"/>
  <c r="C149" i="10"/>
  <c r="A100" i="17"/>
  <c r="A168" i="17"/>
  <c r="A235" i="17" s="1"/>
  <c r="A172" i="17"/>
  <c r="A104" i="17"/>
  <c r="I28" i="16"/>
  <c r="D127" i="10"/>
  <c r="D142" i="10"/>
  <c r="D157" i="10"/>
  <c r="D34" i="10"/>
  <c r="D172" i="10"/>
  <c r="G62" i="4"/>
  <c r="E62" i="4"/>
  <c r="M61" i="4"/>
  <c r="I62" i="4"/>
  <c r="H62" i="4"/>
  <c r="D62" i="4"/>
  <c r="C62" i="4"/>
  <c r="C63" i="4" s="1"/>
  <c r="D12" i="10"/>
  <c r="C61" i="10"/>
  <c r="C111" i="10"/>
  <c r="I38" i="4"/>
  <c r="D38" i="4"/>
  <c r="D39" i="4" s="1"/>
  <c r="H38" i="4"/>
  <c r="F38" i="4"/>
  <c r="G38" i="4"/>
  <c r="E38" i="4"/>
  <c r="M37" i="4"/>
  <c r="M38" i="4" s="1"/>
  <c r="M39" i="4" s="1"/>
  <c r="B42" i="11"/>
  <c r="B11" i="13" s="1"/>
  <c r="B103" i="11"/>
  <c r="C20" i="17" s="1"/>
  <c r="C73" i="17" s="1"/>
  <c r="F30" i="11"/>
  <c r="H30" i="11" s="1"/>
  <c r="B82" i="11" s="1"/>
  <c r="C93" i="11"/>
  <c r="D10" i="17" s="1"/>
  <c r="D63" i="17" s="1"/>
  <c r="G23" i="4"/>
  <c r="D35" i="7" s="1"/>
  <c r="C36" i="7"/>
  <c r="D179" i="10" s="1"/>
  <c r="D224" i="17"/>
  <c r="D157" i="17"/>
  <c r="B50" i="11"/>
  <c r="B75" i="11"/>
  <c r="B56" i="11"/>
  <c r="B81" i="11"/>
  <c r="A133" i="17"/>
  <c r="A200" i="17" s="1"/>
  <c r="A65" i="17"/>
  <c r="B95" i="12"/>
  <c r="B67" i="12"/>
  <c r="C52" i="17"/>
  <c r="C105" i="17" s="1"/>
  <c r="D173" i="17" s="1"/>
  <c r="C121" i="12"/>
  <c r="C12" i="17"/>
  <c r="C65" i="17" s="1"/>
  <c r="C95" i="11"/>
  <c r="H57" i="16"/>
  <c r="E21" i="7"/>
  <c r="H48" i="6"/>
  <c r="C22" i="17"/>
  <c r="C75" i="17" s="1"/>
  <c r="C105" i="11"/>
  <c r="B112" i="11"/>
  <c r="F36" i="11"/>
  <c r="H36" i="11" s="1"/>
  <c r="B48" i="12"/>
  <c r="B76" i="12"/>
  <c r="B91" i="12"/>
  <c r="B63" i="12"/>
  <c r="D197" i="17"/>
  <c r="D130" i="17"/>
  <c r="C23" i="17"/>
  <c r="C76" i="17" s="1"/>
  <c r="C106" i="11"/>
  <c r="C13" i="17"/>
  <c r="C66" i="17" s="1"/>
  <c r="C96" i="11"/>
  <c r="G39" i="16"/>
  <c r="F273" i="17"/>
  <c r="D32" i="7" s="1"/>
  <c r="B54" i="11"/>
  <c r="B79" i="11"/>
  <c r="C53" i="17"/>
  <c r="C106" i="17" s="1"/>
  <c r="D174" i="17" s="1"/>
  <c r="C122" i="12"/>
  <c r="B97" i="12"/>
  <c r="B69" i="12"/>
  <c r="B74" i="12"/>
  <c r="B13" i="18" s="1"/>
  <c r="B46" i="12"/>
  <c r="E44" i="18"/>
  <c r="E57" i="16"/>
  <c r="B21" i="7"/>
  <c r="E48" i="6"/>
  <c r="G57" i="16"/>
  <c r="D21" i="7"/>
  <c r="G48" i="6"/>
  <c r="C40" i="4"/>
  <c r="D37" i="4" s="1"/>
  <c r="M56" i="4"/>
  <c r="M57" i="4" s="1"/>
  <c r="Q11" i="6"/>
  <c r="P16" i="6"/>
  <c r="A130" i="17"/>
  <c r="A197" i="17" s="1"/>
  <c r="A62" i="17"/>
  <c r="A146" i="17"/>
  <c r="A213" i="17" s="1"/>
  <c r="A78" i="17"/>
  <c r="B64" i="12"/>
  <c r="C64" i="12" s="1"/>
  <c r="D64" i="12" s="1"/>
  <c r="E64" i="12" s="1"/>
  <c r="F64" i="12" s="1"/>
  <c r="G64" i="12" s="1"/>
  <c r="H64" i="12" s="1"/>
  <c r="B92" i="12"/>
  <c r="B52" i="11"/>
  <c r="B77" i="11"/>
  <c r="A131" i="17"/>
  <c r="A198" i="17" s="1"/>
  <c r="A63" i="17"/>
  <c r="A139" i="17"/>
  <c r="A206" i="17" s="1"/>
  <c r="A71" i="17"/>
  <c r="A148" i="17"/>
  <c r="A215" i="17" s="1"/>
  <c r="A80" i="17"/>
  <c r="B86" i="11"/>
  <c r="C86" i="11" s="1"/>
  <c r="D86" i="11" s="1"/>
  <c r="E86" i="11" s="1"/>
  <c r="F86" i="11" s="1"/>
  <c r="G86" i="11" s="1"/>
  <c r="H86" i="11" s="1"/>
  <c r="B61" i="11"/>
  <c r="F30" i="12"/>
  <c r="H30" i="12" s="1"/>
  <c r="B117" i="12"/>
  <c r="F26" i="12"/>
  <c r="H26" i="12" s="1"/>
  <c r="B113" i="12"/>
  <c r="B82" i="12"/>
  <c r="B54" i="12"/>
  <c r="E10" i="7"/>
  <c r="H38" i="6"/>
  <c r="A136" i="17"/>
  <c r="A203" i="17" s="1"/>
  <c r="A68" i="17"/>
  <c r="B16" i="18"/>
  <c r="B47" i="18" s="1"/>
  <c r="C77" i="12"/>
  <c r="A141" i="17"/>
  <c r="A208" i="17" s="1"/>
  <c r="A73" i="17"/>
  <c r="G266" i="17"/>
  <c r="G267" i="17"/>
  <c r="G268" i="17"/>
  <c r="G243" i="17"/>
  <c r="G265" i="17"/>
  <c r="G214" i="17"/>
  <c r="G205" i="17"/>
  <c r="H124" i="17"/>
  <c r="G219" i="17"/>
  <c r="G152" i="17"/>
  <c r="B13" i="14"/>
  <c r="C67" i="11"/>
  <c r="C33" i="17"/>
  <c r="C86" i="17" s="1"/>
  <c r="C102" i="12"/>
  <c r="D111" i="10"/>
  <c r="E97" i="10"/>
  <c r="D61" i="10"/>
  <c r="E12" i="10"/>
  <c r="C16" i="9"/>
  <c r="C43" i="4"/>
  <c r="C65" i="4" s="1"/>
  <c r="B13" i="8" s="1"/>
  <c r="F6" i="2"/>
  <c r="F12" i="2" s="1"/>
  <c r="E19" i="2" s="1"/>
  <c r="E20" i="2"/>
  <c r="C18" i="17"/>
  <c r="C71" i="17" s="1"/>
  <c r="C101" i="11"/>
  <c r="C50" i="17"/>
  <c r="C103" i="17" s="1"/>
  <c r="C119" i="12"/>
  <c r="B44" i="11"/>
  <c r="B69" i="11"/>
  <c r="B79" i="12"/>
  <c r="B51" i="12"/>
  <c r="C57" i="17"/>
  <c r="C110" i="17" s="1"/>
  <c r="C126" i="12"/>
  <c r="B58" i="11"/>
  <c r="B83" i="11"/>
  <c r="A132" i="17"/>
  <c r="A199" i="17" s="1"/>
  <c r="A64" i="17"/>
  <c r="A140" i="17"/>
  <c r="A207" i="17" s="1"/>
  <c r="A72" i="17"/>
  <c r="A149" i="17"/>
  <c r="A216" i="17" s="1"/>
  <c r="A81" i="17"/>
  <c r="D14" i="17"/>
  <c r="D67" i="17" s="1"/>
  <c r="D97" i="11"/>
  <c r="B12" i="13"/>
  <c r="B69" i="13" s="1"/>
  <c r="C43" i="11"/>
  <c r="A137" i="17"/>
  <c r="A204" i="17" s="1"/>
  <c r="A69" i="17"/>
  <c r="A145" i="17"/>
  <c r="A212" i="17" s="1"/>
  <c r="A77" i="17"/>
  <c r="B74" i="11"/>
  <c r="B49" i="11"/>
  <c r="B75" i="12"/>
  <c r="B47" i="12"/>
  <c r="B53" i="12"/>
  <c r="B81" i="12"/>
  <c r="E39" i="16"/>
  <c r="I172" i="14"/>
  <c r="I177" i="14" s="1"/>
  <c r="G29" i="7" s="1"/>
  <c r="J133" i="14"/>
  <c r="I52" i="16"/>
  <c r="I56" i="16" s="1"/>
  <c r="F31" i="7" s="1"/>
  <c r="J23" i="16"/>
  <c r="I36" i="16"/>
  <c r="I37" i="16"/>
  <c r="I33" i="16"/>
  <c r="I35" i="16"/>
  <c r="I34" i="16"/>
  <c r="I38" i="16"/>
  <c r="I44" i="16"/>
  <c r="B96" i="12"/>
  <c r="B68" i="12"/>
  <c r="H27" i="15"/>
  <c r="I17" i="15"/>
  <c r="H28" i="15"/>
  <c r="H37" i="15"/>
  <c r="H43" i="15" s="1"/>
  <c r="F30" i="7" s="1"/>
  <c r="H29" i="15"/>
  <c r="C21" i="17"/>
  <c r="C74" i="17" s="1"/>
  <c r="C104" i="11"/>
  <c r="B94" i="12"/>
  <c r="B66" i="12"/>
  <c r="C66" i="12" s="1"/>
  <c r="D66" i="12" s="1"/>
  <c r="E66" i="12" s="1"/>
  <c r="F66" i="12" s="1"/>
  <c r="G66" i="12" s="1"/>
  <c r="H66" i="12" s="1"/>
  <c r="C56" i="17"/>
  <c r="C109" i="17" s="1"/>
  <c r="C125" i="12"/>
  <c r="B78" i="12"/>
  <c r="B50" i="12"/>
  <c r="I43" i="16"/>
  <c r="I49" i="16" s="1"/>
  <c r="F185" i="18"/>
  <c r="D33" i="7" s="1"/>
  <c r="H50" i="4"/>
  <c r="D50" i="4"/>
  <c r="M49" i="4"/>
  <c r="F50" i="4"/>
  <c r="G50" i="4"/>
  <c r="E50" i="4"/>
  <c r="C50" i="4"/>
  <c r="I50" i="4"/>
  <c r="C24" i="17"/>
  <c r="C77" i="17" s="1"/>
  <c r="C107" i="11"/>
  <c r="C51" i="17"/>
  <c r="C104" i="17" s="1"/>
  <c r="D172" i="17" s="1"/>
  <c r="C120" i="12"/>
  <c r="B111" i="11"/>
  <c r="B110" i="11"/>
  <c r="F34" i="11"/>
  <c r="H34" i="11" s="1"/>
  <c r="B114" i="12"/>
  <c r="F27" i="12"/>
  <c r="H27" i="12" s="1"/>
  <c r="B115" i="12"/>
  <c r="F28" i="12"/>
  <c r="H28" i="12" s="1"/>
  <c r="C41" i="17"/>
  <c r="C94" i="17" s="1"/>
  <c r="C110" i="12"/>
  <c r="E157" i="10"/>
  <c r="E172" i="10"/>
  <c r="E142" i="10"/>
  <c r="E127" i="10"/>
  <c r="E34" i="10"/>
  <c r="C39" i="17"/>
  <c r="C92" i="17" s="1"/>
  <c r="C108" i="12"/>
  <c r="D9" i="17"/>
  <c r="D62" i="17" s="1"/>
  <c r="D92" i="11"/>
  <c r="A144" i="17"/>
  <c r="A211" i="17" s="1"/>
  <c r="A76" i="17"/>
  <c r="E30" i="17"/>
  <c r="E83" i="17" s="1"/>
  <c r="E113" i="11"/>
  <c r="B46" i="11"/>
  <c r="B71" i="11"/>
  <c r="B18" i="14"/>
  <c r="B42" i="14" s="1"/>
  <c r="C72" i="11"/>
  <c r="C15" i="17"/>
  <c r="C68" i="17" s="1"/>
  <c r="C98" i="11"/>
  <c r="B118" i="12"/>
  <c r="F31" i="12"/>
  <c r="H31" i="12" s="1"/>
  <c r="B116" i="12"/>
  <c r="F29" i="12"/>
  <c r="H29" i="12" s="1"/>
  <c r="B52" i="12"/>
  <c r="B80" i="12"/>
  <c r="B38" i="13"/>
  <c r="B95" i="13" s="1"/>
  <c r="C49" i="12"/>
  <c r="E218" i="17"/>
  <c r="E151" i="17"/>
  <c r="C54" i="17"/>
  <c r="C107" i="17" s="1"/>
  <c r="C123" i="12"/>
  <c r="H20" i="4"/>
  <c r="H16" i="4"/>
  <c r="H12" i="4"/>
  <c r="H8" i="4"/>
  <c r="H22" i="4"/>
  <c r="H18" i="4"/>
  <c r="H14" i="4"/>
  <c r="H10" i="4"/>
  <c r="I4" i="4"/>
  <c r="H21" i="4"/>
  <c r="H19" i="4"/>
  <c r="H17" i="4"/>
  <c r="H15" i="4"/>
  <c r="H13" i="4"/>
  <c r="H11" i="4"/>
  <c r="H9" i="4"/>
  <c r="B78" i="11"/>
  <c r="B53" i="11"/>
  <c r="D36" i="17"/>
  <c r="D89" i="17" s="1"/>
  <c r="D105" i="12"/>
  <c r="C18" i="8"/>
  <c r="D18" i="8" s="1"/>
  <c r="E18" i="8" s="1"/>
  <c r="F18" i="8" s="1"/>
  <c r="G18" i="8" s="1"/>
  <c r="H18" i="8" s="1"/>
  <c r="D198" i="17"/>
  <c r="D131" i="17"/>
  <c r="C11" i="17"/>
  <c r="C64" i="17" s="1"/>
  <c r="C94" i="11"/>
  <c r="C38" i="17"/>
  <c r="C91" i="17" s="1"/>
  <c r="C107" i="12"/>
  <c r="B98" i="12"/>
  <c r="B70" i="12"/>
  <c r="G9" i="15"/>
  <c r="F10" i="15"/>
  <c r="H21" i="15" s="1"/>
  <c r="H23" i="15" s="1"/>
  <c r="C25" i="17"/>
  <c r="C78" i="17" s="1"/>
  <c r="C108" i="11"/>
  <c r="D202" i="17"/>
  <c r="D135" i="17"/>
  <c r="B14" i="14"/>
  <c r="B38" i="14" s="1"/>
  <c r="C68" i="11"/>
  <c r="C16" i="17"/>
  <c r="C69" i="17" s="1"/>
  <c r="C99" i="11"/>
  <c r="C34" i="17"/>
  <c r="C87" i="17" s="1"/>
  <c r="C103" i="12"/>
  <c r="C40" i="17"/>
  <c r="C93" i="17" s="1"/>
  <c r="C109" i="12"/>
  <c r="F39" i="16"/>
  <c r="H39" i="16"/>
  <c r="F45" i="15"/>
  <c r="F47" i="15" s="1"/>
  <c r="D20" i="7"/>
  <c r="G51" i="6"/>
  <c r="G294" i="13"/>
  <c r="G301" i="13" s="1"/>
  <c r="E28" i="7" s="1"/>
  <c r="G280" i="13"/>
  <c r="G279" i="13"/>
  <c r="G255" i="13"/>
  <c r="H172" i="13"/>
  <c r="G222" i="13"/>
  <c r="G221" i="13"/>
  <c r="G223" i="13"/>
  <c r="G254" i="13"/>
  <c r="C55" i="17"/>
  <c r="C108" i="17" s="1"/>
  <c r="C124" i="12"/>
  <c r="G34" i="15"/>
  <c r="B93" i="12"/>
  <c r="B65" i="12"/>
  <c r="C65" i="12" s="1"/>
  <c r="D65" i="12" s="1"/>
  <c r="E65" i="12" s="1"/>
  <c r="F65" i="12" s="1"/>
  <c r="G65" i="12" s="1"/>
  <c r="H65" i="12" s="1"/>
  <c r="B16" i="13"/>
  <c r="B73" i="13" s="1"/>
  <c r="C47" i="11"/>
  <c r="B70" i="11"/>
  <c r="B45" i="11"/>
  <c r="D44" i="18"/>
  <c r="C37" i="17"/>
  <c r="C90" i="17" s="1"/>
  <c r="C106" i="12"/>
  <c r="F57" i="16"/>
  <c r="C21" i="7"/>
  <c r="F48" i="6"/>
  <c r="I31" i="16"/>
  <c r="G181" i="18"/>
  <c r="G180" i="18"/>
  <c r="G185" i="18" s="1"/>
  <c r="E33" i="7" s="1"/>
  <c r="H149" i="18"/>
  <c r="A106" i="17"/>
  <c r="A174" i="17"/>
  <c r="G40" i="18"/>
  <c r="F41" i="18"/>
  <c r="F44" i="18" s="1"/>
  <c r="M62" i="4"/>
  <c r="M63" i="4" s="1"/>
  <c r="B80" i="11"/>
  <c r="B55" i="11"/>
  <c r="A134" i="17"/>
  <c r="A201" i="17" s="1"/>
  <c r="A66" i="17"/>
  <c r="A142" i="17"/>
  <c r="A209" i="17" s="1"/>
  <c r="A74" i="17"/>
  <c r="A135" i="17"/>
  <c r="A202" i="17" s="1"/>
  <c r="A67" i="17"/>
  <c r="A143" i="17"/>
  <c r="A210" i="17" s="1"/>
  <c r="A75" i="17"/>
  <c r="B48" i="11"/>
  <c r="B73" i="11"/>
  <c r="B109" i="11"/>
  <c r="F33" i="11"/>
  <c r="H33" i="11" s="1"/>
  <c r="B111" i="12"/>
  <c r="F24" i="12"/>
  <c r="H24" i="12" s="1"/>
  <c r="B112" i="12"/>
  <c r="F25" i="12"/>
  <c r="H25" i="12" s="1"/>
  <c r="C35" i="17"/>
  <c r="C88" i="17" s="1"/>
  <c r="C104" i="12"/>
  <c r="E57" i="4" l="1"/>
  <c r="F57" i="4" s="1"/>
  <c r="G57" i="4" s="1"/>
  <c r="H57" i="4" s="1"/>
  <c r="I57" i="4" s="1"/>
  <c r="C58" i="4"/>
  <c r="D55" i="4" s="1"/>
  <c r="D58" i="4" s="1"/>
  <c r="E55" i="4" s="1"/>
  <c r="E58" i="4"/>
  <c r="F55" i="4" s="1"/>
  <c r="F58" i="4" s="1"/>
  <c r="G55" i="4" s="1"/>
  <c r="G58" i="4" s="1"/>
  <c r="H55" i="4" s="1"/>
  <c r="H58" i="4" s="1"/>
  <c r="I55" i="4" s="1"/>
  <c r="I58" i="4" s="1"/>
  <c r="D114" i="4"/>
  <c r="D115" i="4" s="1"/>
  <c r="C102" i="11"/>
  <c r="B51" i="11"/>
  <c r="B20" i="13" s="1"/>
  <c r="B77" i="13" s="1"/>
  <c r="C42" i="11"/>
  <c r="D42" i="11" s="1"/>
  <c r="C103" i="11"/>
  <c r="D20" i="17" s="1"/>
  <c r="D73" i="17" s="1"/>
  <c r="C109" i="11"/>
  <c r="C27" i="17"/>
  <c r="C80" i="17" s="1"/>
  <c r="D36" i="7"/>
  <c r="E23" i="9" s="1"/>
  <c r="I39" i="16"/>
  <c r="I35" i="6" s="1"/>
  <c r="F114" i="4"/>
  <c r="D63" i="4"/>
  <c r="E63" i="4" s="1"/>
  <c r="F63" i="4" s="1"/>
  <c r="G63" i="4" s="1"/>
  <c r="H63" i="4" s="1"/>
  <c r="I63" i="4" s="1"/>
  <c r="C64" i="4"/>
  <c r="D61" i="4" s="1"/>
  <c r="D64" i="4" s="1"/>
  <c r="E61" i="4" s="1"/>
  <c r="E64" i="4" s="1"/>
  <c r="F61" i="4" s="1"/>
  <c r="F64" i="4" s="1"/>
  <c r="G61" i="4" s="1"/>
  <c r="G64" i="4" s="1"/>
  <c r="H61" i="4" s="1"/>
  <c r="H64" i="4" s="1"/>
  <c r="I61" i="4" s="1"/>
  <c r="I64" i="4" s="1"/>
  <c r="E39" i="4"/>
  <c r="F39" i="4" s="1"/>
  <c r="G39" i="4" s="1"/>
  <c r="H39" i="4" s="1"/>
  <c r="I39" i="4" s="1"/>
  <c r="D40" i="4"/>
  <c r="E37" i="4" s="1"/>
  <c r="E40" i="4" s="1"/>
  <c r="F37" i="4" s="1"/>
  <c r="F40" i="4" s="1"/>
  <c r="G37" i="4" s="1"/>
  <c r="G40" i="4" s="1"/>
  <c r="H37" i="4" s="1"/>
  <c r="H40" i="4" s="1"/>
  <c r="I37" i="4" s="1"/>
  <c r="I40" i="4" s="1"/>
  <c r="D93" i="11"/>
  <c r="E93" i="11" s="1"/>
  <c r="B57" i="11"/>
  <c r="B26" i="13" s="1"/>
  <c r="B83" i="13" s="1"/>
  <c r="B37" i="14"/>
  <c r="D23" i="9"/>
  <c r="D149" i="10"/>
  <c r="D134" i="10"/>
  <c r="D164" i="10"/>
  <c r="M64" i="4"/>
  <c r="N61" i="4" s="1"/>
  <c r="N62" i="4" s="1"/>
  <c r="N63" i="4" s="1"/>
  <c r="M40" i="4"/>
  <c r="N37" i="4" s="1"/>
  <c r="N38" i="4" s="1"/>
  <c r="B24" i="13"/>
  <c r="B81" i="13" s="1"/>
  <c r="C55" i="11"/>
  <c r="D222" i="17"/>
  <c r="D155" i="17"/>
  <c r="D199" i="17"/>
  <c r="D132" i="17"/>
  <c r="F151" i="17"/>
  <c r="F218" i="17"/>
  <c r="E197" i="17"/>
  <c r="E130" i="17"/>
  <c r="B87" i="12"/>
  <c r="B59" i="12"/>
  <c r="J172" i="14"/>
  <c r="J177" i="14" s="1"/>
  <c r="H29" i="7" s="1"/>
  <c r="B34" i="8"/>
  <c r="C34" i="8" s="1"/>
  <c r="D34" i="8" s="1"/>
  <c r="E34" i="8" s="1"/>
  <c r="F34" i="8" s="1"/>
  <c r="G34" i="8" s="1"/>
  <c r="H34" i="8" s="1"/>
  <c r="C9" i="9"/>
  <c r="C44" i="17"/>
  <c r="C97" i="17" s="1"/>
  <c r="C113" i="12"/>
  <c r="B30" i="13"/>
  <c r="B87" i="13" s="1"/>
  <c r="C61" i="11"/>
  <c r="B23" i="14"/>
  <c r="B47" i="14" s="1"/>
  <c r="C77" i="11"/>
  <c r="B23" i="13"/>
  <c r="B80" i="13" s="1"/>
  <c r="C54" i="11"/>
  <c r="B56" i="13"/>
  <c r="B113" i="13" s="1"/>
  <c r="C67" i="12"/>
  <c r="B16" i="14"/>
  <c r="B40" i="14" s="1"/>
  <c r="C70" i="11"/>
  <c r="D40" i="17"/>
  <c r="D93" i="17" s="1"/>
  <c r="D109" i="12"/>
  <c r="F10" i="7"/>
  <c r="I38" i="6"/>
  <c r="D38" i="17"/>
  <c r="D91" i="17" s="1"/>
  <c r="D107" i="12"/>
  <c r="B24" i="14"/>
  <c r="B48" i="14" s="1"/>
  <c r="C78" i="11"/>
  <c r="C47" i="17"/>
  <c r="C100" i="17" s="1"/>
  <c r="C116" i="12"/>
  <c r="B17" i="14"/>
  <c r="C71" i="11"/>
  <c r="C46" i="17"/>
  <c r="C99" i="17" s="1"/>
  <c r="C115" i="12"/>
  <c r="D51" i="17"/>
  <c r="D104" i="17" s="1"/>
  <c r="E172" i="17" s="1"/>
  <c r="D120" i="12"/>
  <c r="D209" i="17"/>
  <c r="D142" i="17"/>
  <c r="B20" i="14"/>
  <c r="B44" i="14" s="1"/>
  <c r="C74" i="11"/>
  <c r="E202" i="17"/>
  <c r="E135" i="17"/>
  <c r="B27" i="13"/>
  <c r="B84" i="13" s="1"/>
  <c r="C58" i="11"/>
  <c r="E198" i="17"/>
  <c r="E131" i="17"/>
  <c r="D206" i="17"/>
  <c r="D139" i="17"/>
  <c r="H44" i="4"/>
  <c r="H66" i="4" s="1"/>
  <c r="D44" i="4"/>
  <c r="D66" i="4" s="1"/>
  <c r="M43" i="4"/>
  <c r="M65" i="4" s="1"/>
  <c r="F44" i="4"/>
  <c r="F66" i="4" s="1"/>
  <c r="G44" i="4"/>
  <c r="G66" i="4" s="1"/>
  <c r="E44" i="4"/>
  <c r="E66" i="4" s="1"/>
  <c r="C44" i="4"/>
  <c r="C45" i="4" s="1"/>
  <c r="I44" i="4"/>
  <c r="I66" i="4" s="1"/>
  <c r="B57" i="12"/>
  <c r="B85" i="12"/>
  <c r="B21" i="13"/>
  <c r="B78" i="13" s="1"/>
  <c r="C52" i="11"/>
  <c r="B28" i="14"/>
  <c r="B52" i="14" s="1"/>
  <c r="C82" i="11"/>
  <c r="M58" i="4"/>
  <c r="N55" i="4" s="1"/>
  <c r="B35" i="13"/>
  <c r="C46" i="12"/>
  <c r="D53" i="17"/>
  <c r="D106" i="17" s="1"/>
  <c r="E174" i="17" s="1"/>
  <c r="D122" i="12"/>
  <c r="D13" i="17"/>
  <c r="D66" i="17" s="1"/>
  <c r="D96" i="11"/>
  <c r="B30" i="18"/>
  <c r="B61" i="18" s="1"/>
  <c r="C91" i="12"/>
  <c r="C29" i="17"/>
  <c r="C82" i="17" s="1"/>
  <c r="C112" i="11"/>
  <c r="D200" i="17"/>
  <c r="D133" i="17"/>
  <c r="B34" i="18"/>
  <c r="B62" i="18" s="1"/>
  <c r="C95" i="12"/>
  <c r="B25" i="13"/>
  <c r="B82" i="13" s="1"/>
  <c r="C56" i="11"/>
  <c r="B56" i="12"/>
  <c r="B84" i="12"/>
  <c r="B14" i="13"/>
  <c r="B71" i="13" s="1"/>
  <c r="C45" i="11"/>
  <c r="F59" i="16"/>
  <c r="C11" i="7"/>
  <c r="F35" i="6"/>
  <c r="D213" i="17"/>
  <c r="D146" i="17"/>
  <c r="B19" i="18"/>
  <c r="B50" i="18" s="1"/>
  <c r="C80" i="12"/>
  <c r="D15" i="17"/>
  <c r="D68" i="17" s="1"/>
  <c r="D98" i="11"/>
  <c r="D208" i="17"/>
  <c r="D141" i="17"/>
  <c r="B60" i="11"/>
  <c r="B85" i="11"/>
  <c r="D207" i="17"/>
  <c r="D140" i="17"/>
  <c r="D212" i="17"/>
  <c r="D145" i="17"/>
  <c r="M50" i="4"/>
  <c r="M52" i="4" s="1"/>
  <c r="B39" i="13"/>
  <c r="B96" i="13" s="1"/>
  <c r="C50" i="12"/>
  <c r="D56" i="17"/>
  <c r="D109" i="17" s="1"/>
  <c r="D125" i="12"/>
  <c r="B57" i="13"/>
  <c r="B114" i="13" s="1"/>
  <c r="C68" i="12"/>
  <c r="B18" i="13"/>
  <c r="B75" i="13" s="1"/>
  <c r="C49" i="11"/>
  <c r="E14" i="17"/>
  <c r="E67" i="17" s="1"/>
  <c r="E97" i="11"/>
  <c r="B29" i="14"/>
  <c r="B53" i="14" s="1"/>
  <c r="C83" i="11"/>
  <c r="B40" i="13"/>
  <c r="B97" i="13" s="1"/>
  <c r="C51" i="12"/>
  <c r="D18" i="17"/>
  <c r="D71" i="17" s="1"/>
  <c r="D101" i="11"/>
  <c r="B36" i="18"/>
  <c r="B64" i="18" s="1"/>
  <c r="C97" i="12"/>
  <c r="D211" i="17"/>
  <c r="D144" i="17"/>
  <c r="B26" i="14"/>
  <c r="B50" i="14" s="1"/>
  <c r="C80" i="11"/>
  <c r="G45" i="15"/>
  <c r="G47" i="15" s="1"/>
  <c r="H51" i="6"/>
  <c r="E20" i="7"/>
  <c r="D16" i="17"/>
  <c r="D69" i="17" s="1"/>
  <c r="D99" i="11"/>
  <c r="I21" i="4"/>
  <c r="I17" i="4"/>
  <c r="I13" i="4"/>
  <c r="I9" i="4"/>
  <c r="I19" i="4"/>
  <c r="I15" i="4"/>
  <c r="I11" i="4"/>
  <c r="J4" i="4"/>
  <c r="I22" i="4"/>
  <c r="I20" i="4"/>
  <c r="I18" i="4"/>
  <c r="I16" i="4"/>
  <c r="I14" i="4"/>
  <c r="I12" i="4"/>
  <c r="I10" i="4"/>
  <c r="I8" i="4"/>
  <c r="B41" i="13"/>
  <c r="B98" i="13" s="1"/>
  <c r="C52" i="12"/>
  <c r="D203" i="17"/>
  <c r="D136" i="17"/>
  <c r="D39" i="17"/>
  <c r="D92" i="17" s="1"/>
  <c r="D108" i="12"/>
  <c r="C110" i="11"/>
  <c r="B17" i="18"/>
  <c r="B48" i="18" s="1"/>
  <c r="C78" i="12"/>
  <c r="D241" i="17"/>
  <c r="D177" i="17"/>
  <c r="B35" i="18"/>
  <c r="B63" i="18" s="1"/>
  <c r="C96" i="12"/>
  <c r="J36" i="16"/>
  <c r="J52" i="16"/>
  <c r="J56" i="16" s="1"/>
  <c r="G31" i="7" s="1"/>
  <c r="K23" i="16"/>
  <c r="J35" i="16"/>
  <c r="J38" i="16"/>
  <c r="J44" i="16"/>
  <c r="J34" i="16"/>
  <c r="J33" i="16"/>
  <c r="J37" i="16"/>
  <c r="J30" i="16"/>
  <c r="J32" i="16"/>
  <c r="J28" i="16"/>
  <c r="J43" i="16"/>
  <c r="J29" i="16"/>
  <c r="J31" i="16"/>
  <c r="B42" i="13"/>
  <c r="B99" i="13" s="1"/>
  <c r="C53" i="12"/>
  <c r="B18" i="18"/>
  <c r="B49" i="18" s="1"/>
  <c r="C79" i="12"/>
  <c r="D35" i="17"/>
  <c r="D88" i="17" s="1"/>
  <c r="D104" i="12"/>
  <c r="B83" i="12"/>
  <c r="B55" i="12"/>
  <c r="B19" i="14"/>
  <c r="B43" i="14" s="1"/>
  <c r="C73" i="11"/>
  <c r="H40" i="18"/>
  <c r="H41" i="18" s="1"/>
  <c r="H44" i="18" s="1"/>
  <c r="G41" i="18"/>
  <c r="G44" i="18" s="1"/>
  <c r="H180" i="18"/>
  <c r="H181" i="18"/>
  <c r="I149" i="18"/>
  <c r="D37" i="17"/>
  <c r="D90" i="17" s="1"/>
  <c r="D106" i="12"/>
  <c r="D47" i="11"/>
  <c r="C16" i="13"/>
  <c r="C73" i="13" s="1"/>
  <c r="D55" i="17"/>
  <c r="D108" i="17" s="1"/>
  <c r="D124" i="12"/>
  <c r="D228" i="17"/>
  <c r="D161" i="17"/>
  <c r="D204" i="17"/>
  <c r="D137" i="17"/>
  <c r="H9" i="15"/>
  <c r="H10" i="15" s="1"/>
  <c r="G10" i="15"/>
  <c r="I21" i="15" s="1"/>
  <c r="I23" i="15" s="1"/>
  <c r="D226" i="17"/>
  <c r="D159" i="17"/>
  <c r="E36" i="17"/>
  <c r="E89" i="17" s="1"/>
  <c r="E105" i="12"/>
  <c r="H23" i="4"/>
  <c r="E35" i="7" s="1"/>
  <c r="D54" i="17"/>
  <c r="D107" i="17" s="1"/>
  <c r="D123" i="12"/>
  <c r="C38" i="13"/>
  <c r="C95" i="13" s="1"/>
  <c r="D49" i="12"/>
  <c r="B62" i="12"/>
  <c r="B90" i="12"/>
  <c r="C18" i="14"/>
  <c r="C42" i="14" s="1"/>
  <c r="D72" i="11"/>
  <c r="B15" i="13"/>
  <c r="B72" i="13" s="1"/>
  <c r="C46" i="11"/>
  <c r="D227" i="17"/>
  <c r="D160" i="17"/>
  <c r="D41" i="17"/>
  <c r="D94" i="17" s="1"/>
  <c r="D110" i="12"/>
  <c r="B86" i="12"/>
  <c r="B58" i="12"/>
  <c r="C28" i="17"/>
  <c r="C81" i="17" s="1"/>
  <c r="C111" i="11"/>
  <c r="C51" i="4"/>
  <c r="C52" i="4"/>
  <c r="I28" i="15"/>
  <c r="I37" i="15"/>
  <c r="I43" i="15" s="1"/>
  <c r="G30" i="7" s="1"/>
  <c r="J17" i="15"/>
  <c r="I27" i="15"/>
  <c r="I29" i="15"/>
  <c r="B36" i="13"/>
  <c r="B93" i="13" s="1"/>
  <c r="C47" i="12"/>
  <c r="D43" i="11"/>
  <c r="C12" i="13"/>
  <c r="C69" i="13" s="1"/>
  <c r="D57" i="17"/>
  <c r="D110" i="17" s="1"/>
  <c r="D126" i="12"/>
  <c r="B15" i="14"/>
  <c r="B39" i="14" s="1"/>
  <c r="C69" i="11"/>
  <c r="D50" i="17"/>
  <c r="D103" i="17" s="1"/>
  <c r="D119" i="12"/>
  <c r="G273" i="17"/>
  <c r="E32" i="7" s="1"/>
  <c r="B43" i="13"/>
  <c r="B100" i="13" s="1"/>
  <c r="C54" i="12"/>
  <c r="C48" i="17"/>
  <c r="C101" i="17" s="1"/>
  <c r="C117" i="12"/>
  <c r="B31" i="18"/>
  <c r="C92" i="12"/>
  <c r="B44" i="18"/>
  <c r="D201" i="17"/>
  <c r="D134" i="17"/>
  <c r="B15" i="18"/>
  <c r="B46" i="18" s="1"/>
  <c r="C76" i="12"/>
  <c r="D22" i="17"/>
  <c r="D75" i="17" s="1"/>
  <c r="D105" i="11"/>
  <c r="D52" i="17"/>
  <c r="D105" i="17" s="1"/>
  <c r="E173" i="17" s="1"/>
  <c r="D121" i="12"/>
  <c r="B21" i="14"/>
  <c r="B45" i="14" s="1"/>
  <c r="C75" i="11"/>
  <c r="B84" i="11"/>
  <c r="B30" i="14" s="1"/>
  <c r="B59" i="11"/>
  <c r="B64" i="14"/>
  <c r="B63" i="14"/>
  <c r="B37" i="18"/>
  <c r="B65" i="18" s="1"/>
  <c r="C98" i="12"/>
  <c r="B22" i="13"/>
  <c r="B79" i="13" s="1"/>
  <c r="C53" i="11"/>
  <c r="B60" i="12"/>
  <c r="B88" i="12"/>
  <c r="D21" i="17"/>
  <c r="D74" i="17" s="1"/>
  <c r="D104" i="11"/>
  <c r="B20" i="18"/>
  <c r="B51" i="18" s="1"/>
  <c r="C81" i="12"/>
  <c r="D221" i="17"/>
  <c r="D154" i="17"/>
  <c r="F172" i="10"/>
  <c r="F127" i="10"/>
  <c r="F142" i="10"/>
  <c r="F157" i="10"/>
  <c r="F34" i="10"/>
  <c r="B52" i="13"/>
  <c r="B109" i="13" s="1"/>
  <c r="C63" i="12"/>
  <c r="B62" i="11"/>
  <c r="B87" i="11"/>
  <c r="C87" i="11" s="1"/>
  <c r="D87" i="11" s="1"/>
  <c r="E87" i="11" s="1"/>
  <c r="F87" i="11" s="1"/>
  <c r="G87" i="11" s="1"/>
  <c r="H87" i="11" s="1"/>
  <c r="D12" i="17"/>
  <c r="D65" i="17" s="1"/>
  <c r="D95" i="11"/>
  <c r="C81" i="11"/>
  <c r="B27" i="14"/>
  <c r="B51" i="14" s="1"/>
  <c r="C43" i="17"/>
  <c r="C96" i="17" s="1"/>
  <c r="C112" i="12"/>
  <c r="B32" i="18"/>
  <c r="C93" i="12"/>
  <c r="D223" i="17"/>
  <c r="D156" i="17"/>
  <c r="C42" i="17"/>
  <c r="C95" i="17" s="1"/>
  <c r="C111" i="12"/>
  <c r="B17" i="13"/>
  <c r="B74" i="13" s="1"/>
  <c r="C48" i="11"/>
  <c r="D225" i="17"/>
  <c r="D158" i="17"/>
  <c r="D238" i="13"/>
  <c r="B125" i="13"/>
  <c r="D183" i="13" s="1"/>
  <c r="B68" i="13"/>
  <c r="B120" i="13" s="1"/>
  <c r="D240" i="17"/>
  <c r="D176" i="17"/>
  <c r="H255" i="13"/>
  <c r="I172" i="13"/>
  <c r="H294" i="13"/>
  <c r="H301" i="13" s="1"/>
  <c r="F28" i="7" s="1"/>
  <c r="H280" i="13"/>
  <c r="H279" i="13"/>
  <c r="H223" i="13"/>
  <c r="H222" i="13"/>
  <c r="H221" i="13"/>
  <c r="H254" i="13"/>
  <c r="H199" i="13"/>
  <c r="H59" i="16"/>
  <c r="E11" i="7"/>
  <c r="H35" i="6"/>
  <c r="D34" i="17"/>
  <c r="D87" i="17" s="1"/>
  <c r="D103" i="12"/>
  <c r="C14" i="14"/>
  <c r="C38" i="14" s="1"/>
  <c r="D68" i="11"/>
  <c r="D25" i="17"/>
  <c r="D78" i="17" s="1"/>
  <c r="D108" i="11"/>
  <c r="B59" i="13"/>
  <c r="B116" i="13" s="1"/>
  <c r="C70" i="12"/>
  <c r="D11" i="17"/>
  <c r="D64" i="17" s="1"/>
  <c r="D94" i="11"/>
  <c r="E224" i="17"/>
  <c r="E157" i="17"/>
  <c r="D239" i="17"/>
  <c r="D175" i="17"/>
  <c r="D260" i="13"/>
  <c r="B147" i="13"/>
  <c r="D206" i="13" s="1"/>
  <c r="B22" i="14"/>
  <c r="B46" i="14" s="1"/>
  <c r="C76" i="11"/>
  <c r="C49" i="17"/>
  <c r="C102" i="17" s="1"/>
  <c r="C118" i="12"/>
  <c r="B79" i="14"/>
  <c r="B78" i="14"/>
  <c r="F30" i="17"/>
  <c r="F83" i="17" s="1"/>
  <c r="F113" i="11"/>
  <c r="E9" i="17"/>
  <c r="E62" i="17" s="1"/>
  <c r="E92" i="11"/>
  <c r="D229" i="17"/>
  <c r="D162" i="17"/>
  <c r="C45" i="17"/>
  <c r="C98" i="17" s="1"/>
  <c r="C114" i="12"/>
  <c r="D19" i="17"/>
  <c r="D72" i="17" s="1"/>
  <c r="D102" i="11"/>
  <c r="D24" i="17"/>
  <c r="D77" i="17" s="1"/>
  <c r="D107" i="11"/>
  <c r="I57" i="16"/>
  <c r="F21" i="7"/>
  <c r="I48" i="6"/>
  <c r="B33" i="18"/>
  <c r="C94" i="12"/>
  <c r="H34" i="15"/>
  <c r="E59" i="16"/>
  <c r="E35" i="6"/>
  <c r="B11" i="7"/>
  <c r="B14" i="18"/>
  <c r="B45" i="18" s="1"/>
  <c r="C75" i="12"/>
  <c r="D234" i="13"/>
  <c r="B121" i="13"/>
  <c r="D179" i="13" s="1"/>
  <c r="D242" i="17"/>
  <c r="D178" i="17"/>
  <c r="B13" i="13"/>
  <c r="B70" i="13" s="1"/>
  <c r="C44" i="11"/>
  <c r="D238" i="17"/>
  <c r="D171" i="17"/>
  <c r="D4" i="5"/>
  <c r="C10" i="9"/>
  <c r="D33" i="17"/>
  <c r="D86" i="17" s="1"/>
  <c r="D102" i="12"/>
  <c r="C13" i="14"/>
  <c r="D67" i="11"/>
  <c r="H267" i="17"/>
  <c r="H268" i="17"/>
  <c r="H243" i="17"/>
  <c r="H265" i="17"/>
  <c r="H214" i="17"/>
  <c r="H205" i="17"/>
  <c r="H266" i="17"/>
  <c r="I124" i="17"/>
  <c r="H219" i="17"/>
  <c r="H152" i="17"/>
  <c r="C16" i="18"/>
  <c r="C47" i="18" s="1"/>
  <c r="D77" i="12"/>
  <c r="B21" i="18"/>
  <c r="B52" i="18" s="1"/>
  <c r="C82" i="12"/>
  <c r="B89" i="12"/>
  <c r="B61" i="12"/>
  <c r="R11" i="6"/>
  <c r="R16" i="6" s="1"/>
  <c r="Q16" i="6"/>
  <c r="B58" i="13"/>
  <c r="B115" i="13" s="1"/>
  <c r="C69" i="12"/>
  <c r="B25" i="14"/>
  <c r="C79" i="11"/>
  <c r="G59" i="16"/>
  <c r="D11" i="7"/>
  <c r="G35" i="6"/>
  <c r="D23" i="17"/>
  <c r="D76" i="17" s="1"/>
  <c r="D106" i="11"/>
  <c r="B37" i="13"/>
  <c r="B94" i="13" s="1"/>
  <c r="C48" i="12"/>
  <c r="D210" i="17"/>
  <c r="D143" i="17"/>
  <c r="B19" i="13"/>
  <c r="B76" i="13" s="1"/>
  <c r="C50" i="11"/>
  <c r="D103" i="11" l="1"/>
  <c r="C11" i="13"/>
  <c r="C51" i="11"/>
  <c r="D51" i="11" s="1"/>
  <c r="E164" i="10"/>
  <c r="E149" i="10"/>
  <c r="E179" i="10"/>
  <c r="E134" i="10"/>
  <c r="E10" i="17"/>
  <c r="E63" i="17" s="1"/>
  <c r="F198" i="17" s="1"/>
  <c r="C57" i="11"/>
  <c r="F11" i="7"/>
  <c r="I34" i="15"/>
  <c r="I59" i="16"/>
  <c r="D178" i="13"/>
  <c r="E36" i="7"/>
  <c r="F134" i="10" s="1"/>
  <c r="D116" i="4"/>
  <c r="F116" i="4" s="1"/>
  <c r="F115" i="4"/>
  <c r="D109" i="11"/>
  <c r="D27" i="17"/>
  <c r="D80" i="17" s="1"/>
  <c r="B60" i="14"/>
  <c r="B49" i="14"/>
  <c r="B102" i="14" s="1"/>
  <c r="D154" i="14"/>
  <c r="B41" i="14"/>
  <c r="D153" i="14"/>
  <c r="C116" i="17"/>
  <c r="D247" i="17" s="1"/>
  <c r="C115" i="17"/>
  <c r="D246" i="17" s="1"/>
  <c r="N40" i="4"/>
  <c r="O37" i="4" s="1"/>
  <c r="O38" i="4" s="1"/>
  <c r="O40" i="4" s="1"/>
  <c r="P37" i="4" s="1"/>
  <c r="N39" i="4"/>
  <c r="N64" i="4"/>
  <c r="O61" i="4" s="1"/>
  <c r="D45" i="4"/>
  <c r="E45" i="4" s="1"/>
  <c r="F45" i="4" s="1"/>
  <c r="G45" i="4" s="1"/>
  <c r="H45" i="4" s="1"/>
  <c r="I45" i="4" s="1"/>
  <c r="F179" i="10"/>
  <c r="E14" i="8"/>
  <c r="E42" i="7"/>
  <c r="F14" i="8"/>
  <c r="F42" i="7"/>
  <c r="D241" i="13"/>
  <c r="B128" i="13"/>
  <c r="D186" i="13" s="1"/>
  <c r="D42" i="7"/>
  <c r="D14" i="8"/>
  <c r="F197" i="17"/>
  <c r="F130" i="17"/>
  <c r="C63" i="14"/>
  <c r="C64" i="14"/>
  <c r="D53" i="11"/>
  <c r="C22" i="13"/>
  <c r="C79" i="13" s="1"/>
  <c r="C84" i="11"/>
  <c r="G42" i="7"/>
  <c r="G14" i="8"/>
  <c r="D46" i="11"/>
  <c r="C15" i="13"/>
  <c r="C72" i="13" s="1"/>
  <c r="D38" i="13"/>
  <c r="D95" i="13" s="1"/>
  <c r="E49" i="12"/>
  <c r="E240" i="17"/>
  <c r="E176" i="17"/>
  <c r="C18" i="18"/>
  <c r="C49" i="18" s="1"/>
  <c r="D79" i="12"/>
  <c r="E204" i="17"/>
  <c r="E137" i="17"/>
  <c r="D51" i="12"/>
  <c r="C40" i="13"/>
  <c r="C97" i="13" s="1"/>
  <c r="D50" i="12"/>
  <c r="C39" i="13"/>
  <c r="C96" i="13" s="1"/>
  <c r="G127" i="10"/>
  <c r="G34" i="10"/>
  <c r="G142" i="10"/>
  <c r="G157" i="10"/>
  <c r="G172" i="10"/>
  <c r="C56" i="13"/>
  <c r="C113" i="13" s="1"/>
  <c r="D67" i="12"/>
  <c r="D57" i="11"/>
  <c r="C26" i="13"/>
  <c r="C83" i="13" s="1"/>
  <c r="D61" i="11"/>
  <c r="C30" i="13"/>
  <c r="C87" i="13" s="1"/>
  <c r="B48" i="13"/>
  <c r="B105" i="13" s="1"/>
  <c r="C59" i="12"/>
  <c r="C10" i="5"/>
  <c r="M9" i="5" s="1"/>
  <c r="D8" i="5"/>
  <c r="F46" i="5" s="1"/>
  <c r="E20" i="17"/>
  <c r="E73" i="17" s="1"/>
  <c r="E103" i="11"/>
  <c r="E25" i="17"/>
  <c r="E78" i="17" s="1"/>
  <c r="E108" i="11"/>
  <c r="J172" i="13"/>
  <c r="I279" i="13"/>
  <c r="I255" i="13"/>
  <c r="I280" i="13"/>
  <c r="I294" i="13"/>
  <c r="I301" i="13" s="1"/>
  <c r="G28" i="7" s="1"/>
  <c r="I254" i="13"/>
  <c r="I222" i="13"/>
  <c r="I223" i="13"/>
  <c r="I221" i="13"/>
  <c r="I199" i="13"/>
  <c r="D48" i="11"/>
  <c r="C17" i="13"/>
  <c r="C74" i="13" s="1"/>
  <c r="E12" i="17"/>
  <c r="E65" i="17" s="1"/>
  <c r="E95" i="11"/>
  <c r="D244" i="13"/>
  <c r="B131" i="13"/>
  <c r="D189" i="13" s="1"/>
  <c r="E50" i="17"/>
  <c r="E103" i="17" s="1"/>
  <c r="E119" i="12"/>
  <c r="D49" i="4"/>
  <c r="E162" i="17"/>
  <c r="E229" i="17"/>
  <c r="C147" i="13"/>
  <c r="E206" i="13" s="1"/>
  <c r="E260" i="13"/>
  <c r="F36" i="17"/>
  <c r="F89" i="17" s="1"/>
  <c r="F105" i="12"/>
  <c r="C68" i="13"/>
  <c r="E37" i="17"/>
  <c r="E90" i="17" s="1"/>
  <c r="E106" i="12"/>
  <c r="B22" i="18"/>
  <c r="B53" i="18" s="1"/>
  <c r="C83" i="12"/>
  <c r="C42" i="7"/>
  <c r="C14" i="8"/>
  <c r="E39" i="17"/>
  <c r="E92" i="17" s="1"/>
  <c r="E108" i="12"/>
  <c r="D52" i="12"/>
  <c r="C41" i="13"/>
  <c r="C98" i="13" s="1"/>
  <c r="D262" i="13"/>
  <c r="B149" i="13"/>
  <c r="D208" i="13" s="1"/>
  <c r="F202" i="17"/>
  <c r="F135" i="17"/>
  <c r="B166" i="13"/>
  <c r="D225" i="13" s="1"/>
  <c r="D276" i="13"/>
  <c r="D261" i="13"/>
  <c r="B148" i="13"/>
  <c r="D207" i="13" s="1"/>
  <c r="B31" i="14"/>
  <c r="B55" i="14" s="1"/>
  <c r="C85" i="11"/>
  <c r="E15" i="17"/>
  <c r="E68" i="17" s="1"/>
  <c r="E98" i="11"/>
  <c r="D143" i="10"/>
  <c r="D158" i="10"/>
  <c r="D173" i="10"/>
  <c r="D128" i="10"/>
  <c r="D35" i="10"/>
  <c r="D163" i="18"/>
  <c r="B126" i="18"/>
  <c r="B143" i="18" s="1"/>
  <c r="D156" i="18" s="1"/>
  <c r="B124" i="18"/>
  <c r="B141" i="18" s="1"/>
  <c r="D167" i="18"/>
  <c r="D164" i="18"/>
  <c r="B125" i="18"/>
  <c r="B142" i="18" s="1"/>
  <c r="D155" i="18" s="1"/>
  <c r="D217" i="17"/>
  <c r="D150" i="17"/>
  <c r="C118" i="17"/>
  <c r="C28" i="14"/>
  <c r="C52" i="14" s="1"/>
  <c r="D82" i="11"/>
  <c r="B24" i="18"/>
  <c r="B55" i="18" s="1"/>
  <c r="C85" i="12"/>
  <c r="M44" i="4"/>
  <c r="M45" i="4" s="1"/>
  <c r="D46" i="17"/>
  <c r="D99" i="17" s="1"/>
  <c r="D115" i="12"/>
  <c r="D47" i="17"/>
  <c r="D100" i="17" s="1"/>
  <c r="D116" i="12"/>
  <c r="E38" i="17"/>
  <c r="E91" i="17" s="1"/>
  <c r="E107" i="12"/>
  <c r="B71" i="14"/>
  <c r="B70" i="14"/>
  <c r="D142" i="14" s="1"/>
  <c r="D155" i="14"/>
  <c r="B165" i="13"/>
  <c r="D224" i="13" s="1"/>
  <c r="D275" i="13"/>
  <c r="D248" i="13"/>
  <c r="B135" i="13"/>
  <c r="D193" i="13" s="1"/>
  <c r="D252" i="13"/>
  <c r="B139" i="13"/>
  <c r="D197" i="13" s="1"/>
  <c r="B26" i="18"/>
  <c r="B57" i="18" s="1"/>
  <c r="C87" i="12"/>
  <c r="E211" i="17"/>
  <c r="E144" i="17"/>
  <c r="C21" i="18"/>
  <c r="C52" i="18" s="1"/>
  <c r="D82" i="12"/>
  <c r="C22" i="14"/>
  <c r="C46" i="14" s="1"/>
  <c r="D76" i="11"/>
  <c r="F173" i="10"/>
  <c r="F128" i="10"/>
  <c r="F143" i="10"/>
  <c r="F158" i="10"/>
  <c r="F35" i="10"/>
  <c r="C27" i="14"/>
  <c r="C51" i="14" s="1"/>
  <c r="D81" i="11"/>
  <c r="F10" i="17"/>
  <c r="F63" i="17" s="1"/>
  <c r="F93" i="11"/>
  <c r="E210" i="17"/>
  <c r="E143" i="17"/>
  <c r="I45" i="15"/>
  <c r="G20" i="7"/>
  <c r="J51" i="6"/>
  <c r="E41" i="17"/>
  <c r="E94" i="17" s="1"/>
  <c r="E110" i="12"/>
  <c r="C36" i="18"/>
  <c r="C64" i="18" s="1"/>
  <c r="D97" i="12"/>
  <c r="C57" i="13"/>
  <c r="C114" i="13" s="1"/>
  <c r="D68" i="12"/>
  <c r="D236" i="13"/>
  <c r="B123" i="13"/>
  <c r="D181" i="13" s="1"/>
  <c r="C34" i="18"/>
  <c r="C62" i="18" s="1"/>
  <c r="D95" i="12"/>
  <c r="C114" i="17"/>
  <c r="D245" i="17" s="1"/>
  <c r="N56" i="4"/>
  <c r="N57" i="4" s="1"/>
  <c r="C16" i="14"/>
  <c r="C40" i="14" s="1"/>
  <c r="D70" i="11"/>
  <c r="D246" i="13"/>
  <c r="B133" i="13"/>
  <c r="D191" i="13" s="1"/>
  <c r="C37" i="14"/>
  <c r="H45" i="15"/>
  <c r="H47" i="15" s="1"/>
  <c r="F20" i="7"/>
  <c r="I51" i="6"/>
  <c r="D45" i="17"/>
  <c r="D98" i="17" s="1"/>
  <c r="D114" i="12"/>
  <c r="G30" i="17"/>
  <c r="G83" i="17" s="1"/>
  <c r="G113" i="11"/>
  <c r="D43" i="17"/>
  <c r="D96" i="17" s="1"/>
  <c r="D112" i="12"/>
  <c r="E209" i="17"/>
  <c r="E142" i="17"/>
  <c r="C15" i="18"/>
  <c r="C46" i="18" s="1"/>
  <c r="D76" i="12"/>
  <c r="D54" i="12"/>
  <c r="C43" i="13"/>
  <c r="C100" i="13" s="1"/>
  <c r="D47" i="12"/>
  <c r="C36" i="13"/>
  <c r="C93" i="13" s="1"/>
  <c r="D216" i="17"/>
  <c r="D149" i="17"/>
  <c r="D237" i="13"/>
  <c r="B124" i="13"/>
  <c r="D182" i="13" s="1"/>
  <c r="I47" i="15"/>
  <c r="G10" i="7"/>
  <c r="J38" i="6"/>
  <c r="E158" i="10"/>
  <c r="E173" i="10"/>
  <c r="E35" i="10"/>
  <c r="E143" i="10"/>
  <c r="E128" i="10"/>
  <c r="C58" i="13"/>
  <c r="C115" i="13" s="1"/>
  <c r="D69" i="12"/>
  <c r="B50" i="13"/>
  <c r="B107" i="13" s="1"/>
  <c r="C61" i="12"/>
  <c r="D16" i="18"/>
  <c r="D47" i="18" s="1"/>
  <c r="E77" i="12"/>
  <c r="I268" i="17"/>
  <c r="I243" i="17"/>
  <c r="I265" i="17"/>
  <c r="I266" i="17"/>
  <c r="I214" i="17"/>
  <c r="I205" i="17"/>
  <c r="I267" i="17"/>
  <c r="J124" i="17"/>
  <c r="I219" i="17"/>
  <c r="I152" i="17"/>
  <c r="H273" i="17"/>
  <c r="F32" i="7" s="1"/>
  <c r="E33" i="17"/>
  <c r="E86" i="17" s="1"/>
  <c r="E102" i="12"/>
  <c r="C14" i="18"/>
  <c r="D75" i="12"/>
  <c r="C33" i="18"/>
  <c r="D94" i="12"/>
  <c r="E212" i="17"/>
  <c r="E145" i="17"/>
  <c r="D233" i="17"/>
  <c r="D166" i="17"/>
  <c r="E208" i="17"/>
  <c r="E141" i="17"/>
  <c r="G151" i="17"/>
  <c r="G218" i="17"/>
  <c r="D49" i="17"/>
  <c r="D102" i="17" s="1"/>
  <c r="D118" i="12"/>
  <c r="E199" i="17"/>
  <c r="E132" i="17"/>
  <c r="E213" i="17"/>
  <c r="E146" i="17"/>
  <c r="E222" i="17"/>
  <c r="E155" i="17"/>
  <c r="D239" i="13"/>
  <c r="B126" i="13"/>
  <c r="D184" i="13" s="1"/>
  <c r="D231" i="17"/>
  <c r="D164" i="17"/>
  <c r="E200" i="17"/>
  <c r="E133" i="17"/>
  <c r="B161" i="13"/>
  <c r="D220" i="13" s="1"/>
  <c r="D274" i="13"/>
  <c r="C20" i="18"/>
  <c r="C51" i="18" s="1"/>
  <c r="D81" i="12"/>
  <c r="B27" i="18"/>
  <c r="B58" i="18" s="1"/>
  <c r="C88" i="12"/>
  <c r="C37" i="18"/>
  <c r="C65" i="18" s="1"/>
  <c r="D98" i="12"/>
  <c r="B152" i="13"/>
  <c r="D211" i="13" s="1"/>
  <c r="D265" i="13"/>
  <c r="E238" i="17"/>
  <c r="E171" i="17"/>
  <c r="E242" i="17"/>
  <c r="E178" i="17"/>
  <c r="D258" i="13"/>
  <c r="B145" i="13"/>
  <c r="D204" i="13" s="1"/>
  <c r="C66" i="4"/>
  <c r="B47" i="13"/>
  <c r="B104" i="13" s="1"/>
  <c r="C58" i="12"/>
  <c r="D18" i="14"/>
  <c r="D42" i="14" s="1"/>
  <c r="E72" i="11"/>
  <c r="E54" i="17"/>
  <c r="E107" i="17" s="1"/>
  <c r="E123" i="12"/>
  <c r="F157" i="17"/>
  <c r="F224" i="17"/>
  <c r="J21" i="15"/>
  <c r="J23" i="15" s="1"/>
  <c r="D11" i="13"/>
  <c r="E42" i="11"/>
  <c r="E158" i="17"/>
  <c r="E225" i="17"/>
  <c r="H185" i="18"/>
  <c r="F33" i="7" s="1"/>
  <c r="C19" i="14"/>
  <c r="C43" i="14" s="1"/>
  <c r="D73" i="11"/>
  <c r="E35" i="17"/>
  <c r="E88" i="17" s="1"/>
  <c r="E104" i="12"/>
  <c r="C42" i="13"/>
  <c r="C99" i="13" s="1"/>
  <c r="D53" i="12"/>
  <c r="J49" i="16"/>
  <c r="H42" i="7"/>
  <c r="H14" i="8"/>
  <c r="E160" i="17"/>
  <c r="E227" i="17"/>
  <c r="D263" i="13"/>
  <c r="B150" i="13"/>
  <c r="D209" i="13" s="1"/>
  <c r="E18" i="17"/>
  <c r="E71" i="17" s="1"/>
  <c r="E101" i="11"/>
  <c r="C29" i="14"/>
  <c r="C53" i="14" s="1"/>
  <c r="D83" i="11"/>
  <c r="D49" i="11"/>
  <c r="C18" i="13"/>
  <c r="C75" i="13" s="1"/>
  <c r="E56" i="17"/>
  <c r="E109" i="17" s="1"/>
  <c r="E125" i="12"/>
  <c r="M51" i="4"/>
  <c r="B29" i="13"/>
  <c r="B86" i="13" s="1"/>
  <c r="C60" i="11"/>
  <c r="E203" i="17"/>
  <c r="E136" i="17"/>
  <c r="D56" i="11"/>
  <c r="C25" i="13"/>
  <c r="C82" i="13" s="1"/>
  <c r="C30" i="18"/>
  <c r="C61" i="18" s="1"/>
  <c r="D91" i="12"/>
  <c r="E13" i="17"/>
  <c r="E66" i="17" s="1"/>
  <c r="E96" i="11"/>
  <c r="D46" i="12"/>
  <c r="C35" i="13"/>
  <c r="B46" i="13"/>
  <c r="B103" i="13" s="1"/>
  <c r="C57" i="12"/>
  <c r="D58" i="11"/>
  <c r="C27" i="13"/>
  <c r="C84" i="13" s="1"/>
  <c r="C20" i="14"/>
  <c r="C44" i="14" s="1"/>
  <c r="D74" i="11"/>
  <c r="D234" i="17"/>
  <c r="D167" i="17"/>
  <c r="D235" i="17"/>
  <c r="D168" i="17"/>
  <c r="E226" i="17"/>
  <c r="E159" i="17"/>
  <c r="E40" i="17"/>
  <c r="E93" i="17" s="1"/>
  <c r="E109" i="12"/>
  <c r="D54" i="11"/>
  <c r="C23" i="13"/>
  <c r="C80" i="13" s="1"/>
  <c r="C23" i="14"/>
  <c r="C47" i="14" s="1"/>
  <c r="D77" i="11"/>
  <c r="D44" i="17"/>
  <c r="D97" i="17" s="1"/>
  <c r="D113" i="12"/>
  <c r="G128" i="10"/>
  <c r="G35" i="10"/>
  <c r="G143" i="10"/>
  <c r="G158" i="10"/>
  <c r="G173" i="10"/>
  <c r="D259" i="13"/>
  <c r="B146" i="13"/>
  <c r="D205" i="13" s="1"/>
  <c r="C25" i="14"/>
  <c r="D79" i="11"/>
  <c r="D13" i="14"/>
  <c r="E67" i="11"/>
  <c r="D44" i="11"/>
  <c r="C13" i="13"/>
  <c r="C70" i="13" s="1"/>
  <c r="C128" i="10"/>
  <c r="C35" i="10"/>
  <c r="C143" i="10"/>
  <c r="C158" i="10"/>
  <c r="C173" i="10"/>
  <c r="E207" i="17"/>
  <c r="E140" i="17"/>
  <c r="B168" i="13"/>
  <c r="D227" i="13" s="1"/>
  <c r="D278" i="13"/>
  <c r="D230" i="17"/>
  <c r="D163" i="17"/>
  <c r="B31" i="13"/>
  <c r="B88" i="13" s="1"/>
  <c r="C62" i="11"/>
  <c r="E21" i="17"/>
  <c r="E74" i="17" s="1"/>
  <c r="E104" i="11"/>
  <c r="D236" i="17"/>
  <c r="D169" i="17"/>
  <c r="D12" i="13"/>
  <c r="D69" i="13" s="1"/>
  <c r="E43" i="11"/>
  <c r="D28" i="17"/>
  <c r="D81" i="17" s="1"/>
  <c r="D111" i="11"/>
  <c r="B29" i="18"/>
  <c r="B60" i="18" s="1"/>
  <c r="C90" i="12"/>
  <c r="D16" i="13"/>
  <c r="D73" i="13" s="1"/>
  <c r="E47" i="11"/>
  <c r="B44" i="13"/>
  <c r="B101" i="13" s="1"/>
  <c r="C55" i="12"/>
  <c r="K52" i="16"/>
  <c r="K56" i="16" s="1"/>
  <c r="H31" i="7" s="1"/>
  <c r="K38" i="16"/>
  <c r="K34" i="16"/>
  <c r="K37" i="16"/>
  <c r="K33" i="16"/>
  <c r="K35" i="16"/>
  <c r="K44" i="16"/>
  <c r="K36" i="16"/>
  <c r="K29" i="16"/>
  <c r="K43" i="16"/>
  <c r="K49" i="16" s="1"/>
  <c r="K28" i="16"/>
  <c r="K30" i="16"/>
  <c r="K32" i="16"/>
  <c r="K31" i="16"/>
  <c r="D215" i="17"/>
  <c r="D148" i="17"/>
  <c r="C26" i="14"/>
  <c r="C50" i="14" s="1"/>
  <c r="D80" i="11"/>
  <c r="F14" i="17"/>
  <c r="F67" i="17" s="1"/>
  <c r="F97" i="11"/>
  <c r="B45" i="13"/>
  <c r="B102" i="13" s="1"/>
  <c r="C56" i="12"/>
  <c r="D29" i="17"/>
  <c r="D82" i="17" s="1"/>
  <c r="D112" i="11"/>
  <c r="E53" i="17"/>
  <c r="E106" i="17" s="1"/>
  <c r="F174" i="17" s="1"/>
  <c r="E122" i="12"/>
  <c r="D243" i="13"/>
  <c r="B130" i="13"/>
  <c r="D188" i="13" s="1"/>
  <c r="D235" i="13"/>
  <c r="B122" i="13"/>
  <c r="D180" i="13" s="1"/>
  <c r="E24" i="17"/>
  <c r="E77" i="17" s="1"/>
  <c r="E107" i="11"/>
  <c r="E11" i="17"/>
  <c r="E64" i="17" s="1"/>
  <c r="E94" i="11"/>
  <c r="E34" i="17"/>
  <c r="E87" i="17" s="1"/>
  <c r="E103" i="12"/>
  <c r="C52" i="13"/>
  <c r="C109" i="13" s="1"/>
  <c r="D63" i="12"/>
  <c r="F131" i="17"/>
  <c r="E52" i="17"/>
  <c r="E105" i="17" s="1"/>
  <c r="F173" i="17" s="1"/>
  <c r="E121" i="12"/>
  <c r="C31" i="18"/>
  <c r="D92" i="12"/>
  <c r="E57" i="17"/>
  <c r="E110" i="17" s="1"/>
  <c r="E126" i="12"/>
  <c r="J37" i="15"/>
  <c r="J43" i="15" s="1"/>
  <c r="H30" i="7" s="1"/>
  <c r="J27" i="15"/>
  <c r="J29" i="15"/>
  <c r="J28" i="15"/>
  <c r="B51" i="13"/>
  <c r="B108" i="13" s="1"/>
  <c r="C62" i="12"/>
  <c r="D50" i="11"/>
  <c r="C19" i="13"/>
  <c r="C76" i="13" s="1"/>
  <c r="D48" i="12"/>
  <c r="C37" i="13"/>
  <c r="C94" i="13" s="1"/>
  <c r="E23" i="17"/>
  <c r="E76" i="17" s="1"/>
  <c r="E106" i="11"/>
  <c r="B167" i="13"/>
  <c r="D226" i="13" s="1"/>
  <c r="D277" i="13"/>
  <c r="B28" i="18"/>
  <c r="B59" i="18" s="1"/>
  <c r="C89" i="12"/>
  <c r="E154" i="17"/>
  <c r="E221" i="17"/>
  <c r="E19" i="17"/>
  <c r="E72" i="17" s="1"/>
  <c r="E102" i="11"/>
  <c r="F9" i="17"/>
  <c r="F62" i="17" s="1"/>
  <c r="F92" i="11"/>
  <c r="D237" i="17"/>
  <c r="D170" i="17"/>
  <c r="C59" i="13"/>
  <c r="C116" i="13" s="1"/>
  <c r="D70" i="12"/>
  <c r="D14" i="14"/>
  <c r="D38" i="14" s="1"/>
  <c r="E68" i="11"/>
  <c r="D233" i="13"/>
  <c r="D42" i="17"/>
  <c r="D95" i="17" s="1"/>
  <c r="D111" i="12"/>
  <c r="C32" i="18"/>
  <c r="D93" i="12"/>
  <c r="B49" i="13"/>
  <c r="B106" i="13" s="1"/>
  <c r="C60" i="12"/>
  <c r="B28" i="13"/>
  <c r="B85" i="13" s="1"/>
  <c r="C59" i="11"/>
  <c r="C21" i="14"/>
  <c r="C45" i="14" s="1"/>
  <c r="D75" i="11"/>
  <c r="E22" i="17"/>
  <c r="E75" i="17" s="1"/>
  <c r="E105" i="11"/>
  <c r="C119" i="17"/>
  <c r="D48" i="17"/>
  <c r="D101" i="17" s="1"/>
  <c r="D117" i="12"/>
  <c r="C15" i="14"/>
  <c r="C39" i="14" s="1"/>
  <c r="D69" i="11"/>
  <c r="C121" i="13"/>
  <c r="E179" i="13" s="1"/>
  <c r="E234" i="13"/>
  <c r="D51" i="4"/>
  <c r="C67" i="4"/>
  <c r="B25" i="18"/>
  <c r="B56" i="18" s="1"/>
  <c r="C86" i="12"/>
  <c r="C78" i="14"/>
  <c r="C79" i="14"/>
  <c r="D242" i="13"/>
  <c r="B129" i="13"/>
  <c r="D187" i="13" s="1"/>
  <c r="E239" i="17"/>
  <c r="E175" i="17"/>
  <c r="E55" i="17"/>
  <c r="E108" i="17" s="1"/>
  <c r="E124" i="12"/>
  <c r="C125" i="13"/>
  <c r="E183" i="13" s="1"/>
  <c r="E238" i="13"/>
  <c r="J149" i="18"/>
  <c r="I181" i="18"/>
  <c r="I180" i="18"/>
  <c r="E156" i="17"/>
  <c r="E223" i="17"/>
  <c r="B151" i="13"/>
  <c r="D210" i="13" s="1"/>
  <c r="D264" i="13"/>
  <c r="J39" i="16"/>
  <c r="C35" i="18"/>
  <c r="C63" i="18" s="1"/>
  <c r="D96" i="12"/>
  <c r="C17" i="18"/>
  <c r="C48" i="18" s="1"/>
  <c r="D78" i="12"/>
  <c r="D110" i="11"/>
  <c r="I23" i="4"/>
  <c r="F35" i="7" s="1"/>
  <c r="J22" i="4"/>
  <c r="J18" i="4"/>
  <c r="J14" i="4"/>
  <c r="J10" i="4"/>
  <c r="K4" i="4"/>
  <c r="J20" i="4"/>
  <c r="J16" i="4"/>
  <c r="J12" i="4"/>
  <c r="J8" i="4"/>
  <c r="J21" i="4"/>
  <c r="J19" i="4"/>
  <c r="J17" i="4"/>
  <c r="J15" i="4"/>
  <c r="J13" i="4"/>
  <c r="J11" i="4"/>
  <c r="J9" i="4"/>
  <c r="E16" i="17"/>
  <c r="E69" i="17" s="1"/>
  <c r="E99" i="11"/>
  <c r="E206" i="17"/>
  <c r="E139" i="17"/>
  <c r="D240" i="13"/>
  <c r="B127" i="13"/>
  <c r="D185" i="13" s="1"/>
  <c r="E241" i="17"/>
  <c r="E177" i="17"/>
  <c r="N49" i="4"/>
  <c r="C19" i="18"/>
  <c r="C50" i="18" s="1"/>
  <c r="D80" i="12"/>
  <c r="D45" i="11"/>
  <c r="C14" i="13"/>
  <c r="C71" i="13" s="1"/>
  <c r="B23" i="18"/>
  <c r="B54" i="18" s="1"/>
  <c r="C84" i="12"/>
  <c r="D247" i="13"/>
  <c r="B134" i="13"/>
  <c r="D192" i="13" s="1"/>
  <c r="E201" i="17"/>
  <c r="E134" i="17"/>
  <c r="B92" i="13"/>
  <c r="B61" i="13"/>
  <c r="D52" i="11"/>
  <c r="C21" i="13"/>
  <c r="C78" i="13" s="1"/>
  <c r="C46" i="4"/>
  <c r="D43" i="4" s="1"/>
  <c r="D46" i="4" s="1"/>
  <c r="E43" i="4" s="1"/>
  <c r="E46" i="4" s="1"/>
  <c r="F43" i="4" s="1"/>
  <c r="F46" i="4" s="1"/>
  <c r="G43" i="4" s="1"/>
  <c r="G46" i="4" s="1"/>
  <c r="H43" i="4" s="1"/>
  <c r="H46" i="4" s="1"/>
  <c r="I43" i="4" s="1"/>
  <c r="I46" i="4" s="1"/>
  <c r="D249" i="13"/>
  <c r="B136" i="13"/>
  <c r="D194" i="13" s="1"/>
  <c r="E51" i="17"/>
  <c r="E104" i="17" s="1"/>
  <c r="F172" i="17" s="1"/>
  <c r="E120" i="12"/>
  <c r="C17" i="14"/>
  <c r="D71" i="11"/>
  <c r="C24" i="14"/>
  <c r="C48" i="14" s="1"/>
  <c r="D78" i="11"/>
  <c r="E228" i="17"/>
  <c r="E161" i="17"/>
  <c r="O62" i="4"/>
  <c r="O63" i="4" s="1"/>
  <c r="D245" i="13"/>
  <c r="B132" i="13"/>
  <c r="D190" i="13" s="1"/>
  <c r="B96" i="14"/>
  <c r="B95" i="14"/>
  <c r="D232" i="17"/>
  <c r="D165" i="17"/>
  <c r="D55" i="11"/>
  <c r="C24" i="13"/>
  <c r="C81" i="13" s="1"/>
  <c r="F12" i="5" l="1"/>
  <c r="F10" i="5"/>
  <c r="F11" i="5"/>
  <c r="F47" i="5"/>
  <c r="F48" i="5" s="1"/>
  <c r="F49" i="5" s="1"/>
  <c r="F50" i="5" s="1"/>
  <c r="F51" i="5" s="1"/>
  <c r="F52" i="5" s="1"/>
  <c r="F53" i="5" s="1"/>
  <c r="F54" i="5" s="1"/>
  <c r="F55" i="5" s="1"/>
  <c r="F56" i="5" s="1"/>
  <c r="F57" i="5" s="1"/>
  <c r="F58" i="5" s="1"/>
  <c r="F14" i="5"/>
  <c r="F15" i="5"/>
  <c r="F13" i="5"/>
  <c r="C20" i="13"/>
  <c r="C77" i="13" s="1"/>
  <c r="C129" i="13" s="1"/>
  <c r="E187" i="13" s="1"/>
  <c r="F149" i="10"/>
  <c r="F45" i="10"/>
  <c r="F23" i="9"/>
  <c r="F164" i="10"/>
  <c r="B54" i="14"/>
  <c r="B59" i="14" s="1"/>
  <c r="D139" i="14" s="1"/>
  <c r="D152" i="14"/>
  <c r="E109" i="11"/>
  <c r="E27" i="17"/>
  <c r="E80" i="17" s="1"/>
  <c r="I273" i="17"/>
  <c r="G32" i="7" s="1"/>
  <c r="D144" i="14"/>
  <c r="N58" i="4"/>
  <c r="O55" i="4" s="1"/>
  <c r="O56" i="4" s="1"/>
  <c r="O57" i="4" s="1"/>
  <c r="C60" i="14"/>
  <c r="D119" i="17"/>
  <c r="E251" i="17" s="1"/>
  <c r="B101" i="14"/>
  <c r="B74" i="14"/>
  <c r="D140" i="14" s="1"/>
  <c r="B73" i="14"/>
  <c r="C49" i="14"/>
  <c r="C102" i="14" s="1"/>
  <c r="E154" i="14"/>
  <c r="C41" i="14"/>
  <c r="E153" i="14"/>
  <c r="B32" i="14"/>
  <c r="D183" i="17"/>
  <c r="D184" i="17"/>
  <c r="F36" i="7"/>
  <c r="G134" i="10" s="1"/>
  <c r="O39" i="4"/>
  <c r="M46" i="4"/>
  <c r="M66" i="4"/>
  <c r="B97" i="4" s="1"/>
  <c r="P38" i="4"/>
  <c r="P40" i="4" s="1"/>
  <c r="Q37" i="4" s="1"/>
  <c r="D24" i="14"/>
  <c r="D48" i="14" s="1"/>
  <c r="E78" i="11"/>
  <c r="C123" i="13"/>
  <c r="E181" i="13" s="1"/>
  <c r="E236" i="13"/>
  <c r="N50" i="4"/>
  <c r="N52" i="4" s="1"/>
  <c r="F16" i="17"/>
  <c r="F69" i="17" s="1"/>
  <c r="F99" i="11"/>
  <c r="E215" i="17"/>
  <c r="E148" i="17"/>
  <c r="D15" i="14"/>
  <c r="D39" i="14" s="1"/>
  <c r="E69" i="11"/>
  <c r="B39" i="18"/>
  <c r="B12" i="18" s="1"/>
  <c r="D21" i="14"/>
  <c r="D45" i="14" s="1"/>
  <c r="E75" i="11"/>
  <c r="D60" i="12"/>
  <c r="C49" i="13"/>
  <c r="C106" i="13" s="1"/>
  <c r="E42" i="17"/>
  <c r="E95" i="17" s="1"/>
  <c r="E111" i="12"/>
  <c r="E14" i="14"/>
  <c r="E38" i="14" s="1"/>
  <c r="F68" i="11"/>
  <c r="F207" i="17"/>
  <c r="F140" i="17"/>
  <c r="C28" i="18"/>
  <c r="C59" i="18" s="1"/>
  <c r="D89" i="12"/>
  <c r="F23" i="17"/>
  <c r="F76" i="17" s="1"/>
  <c r="F106" i="11"/>
  <c r="C128" i="13"/>
  <c r="E186" i="13" s="1"/>
  <c r="E241" i="13"/>
  <c r="F57" i="17"/>
  <c r="F110" i="17" s="1"/>
  <c r="F126" i="12"/>
  <c r="F52" i="17"/>
  <c r="F105" i="17" s="1"/>
  <c r="G173" i="17" s="1"/>
  <c r="F121" i="12"/>
  <c r="F34" i="17"/>
  <c r="F87" i="17" s="1"/>
  <c r="F103" i="12"/>
  <c r="F24" i="17"/>
  <c r="F77" i="17" s="1"/>
  <c r="F107" i="11"/>
  <c r="B154" i="13"/>
  <c r="D213" i="13" s="1"/>
  <c r="D267" i="13"/>
  <c r="D125" i="13"/>
  <c r="F183" i="13" s="1"/>
  <c r="F238" i="13"/>
  <c r="E216" i="17"/>
  <c r="E149" i="17"/>
  <c r="D253" i="13"/>
  <c r="B140" i="13"/>
  <c r="D198" i="13" s="1"/>
  <c r="D37" i="14"/>
  <c r="E44" i="17"/>
  <c r="E97" i="17" s="1"/>
  <c r="E113" i="12"/>
  <c r="C132" i="13"/>
  <c r="E190" i="13" s="1"/>
  <c r="E245" i="13"/>
  <c r="C136" i="13"/>
  <c r="E194" i="13" s="1"/>
  <c r="E249" i="13"/>
  <c r="B155" i="13"/>
  <c r="D214" i="13" s="1"/>
  <c r="D268" i="13"/>
  <c r="F201" i="17"/>
  <c r="F134" i="17"/>
  <c r="D25" i="13"/>
  <c r="D82" i="13" s="1"/>
  <c r="E56" i="11"/>
  <c r="D251" i="13"/>
  <c r="B138" i="13"/>
  <c r="D196" i="13" s="1"/>
  <c r="F177" i="17"/>
  <c r="F241" i="17"/>
  <c r="I60" i="10"/>
  <c r="J11" i="10"/>
  <c r="H96" i="4"/>
  <c r="I110" i="10"/>
  <c r="J96" i="10"/>
  <c r="F35" i="17"/>
  <c r="F88" i="17" s="1"/>
  <c r="F104" i="12"/>
  <c r="D68" i="13"/>
  <c r="F54" i="17"/>
  <c r="F107" i="17" s="1"/>
  <c r="F123" i="12"/>
  <c r="E18" i="14"/>
  <c r="E42" i="14" s="1"/>
  <c r="F72" i="11"/>
  <c r="B14" i="8"/>
  <c r="B15" i="8" s="1"/>
  <c r="B42" i="7"/>
  <c r="D33" i="18"/>
  <c r="E94" i="12"/>
  <c r="C45" i="18"/>
  <c r="E16" i="18"/>
  <c r="E47" i="18" s="1"/>
  <c r="F77" i="12"/>
  <c r="D58" i="13"/>
  <c r="D115" i="13" s="1"/>
  <c r="E69" i="12"/>
  <c r="H142" i="10"/>
  <c r="H157" i="10"/>
  <c r="H172" i="10"/>
  <c r="H34" i="10"/>
  <c r="H127" i="10"/>
  <c r="C152" i="13"/>
  <c r="E211" i="13" s="1"/>
  <c r="E265" i="13"/>
  <c r="H30" i="17"/>
  <c r="H83" i="17" s="1"/>
  <c r="H113" i="11"/>
  <c r="I30" i="17" s="1"/>
  <c r="I83" i="17" s="1"/>
  <c r="D16" i="14"/>
  <c r="D40" i="14" s="1"/>
  <c r="E70" i="11"/>
  <c r="D182" i="17"/>
  <c r="D254" i="17"/>
  <c r="D27" i="14"/>
  <c r="D51" i="14" s="1"/>
  <c r="E81" i="11"/>
  <c r="E235" i="17"/>
  <c r="E168" i="17"/>
  <c r="F15" i="17"/>
  <c r="F68" i="17" s="1"/>
  <c r="F98" i="11"/>
  <c r="C150" i="13"/>
  <c r="E209" i="13" s="1"/>
  <c r="E263" i="13"/>
  <c r="F37" i="17"/>
  <c r="F90" i="17" s="1"/>
  <c r="F106" i="12"/>
  <c r="G36" i="17"/>
  <c r="G89" i="17" s="1"/>
  <c r="G105" i="12"/>
  <c r="F50" i="17"/>
  <c r="F103" i="17" s="1"/>
  <c r="F119" i="12"/>
  <c r="F12" i="17"/>
  <c r="F65" i="17" s="1"/>
  <c r="F95" i="11"/>
  <c r="F141" i="17"/>
  <c r="F208" i="17"/>
  <c r="B157" i="13"/>
  <c r="D216" i="13" s="1"/>
  <c r="D270" i="13"/>
  <c r="C135" i="13"/>
  <c r="E193" i="13" s="1"/>
  <c r="E248" i="13"/>
  <c r="D40" i="13"/>
  <c r="D97" i="13" s="1"/>
  <c r="E51" i="12"/>
  <c r="F260" i="13"/>
  <c r="D147" i="13"/>
  <c r="F206" i="13" s="1"/>
  <c r="H110" i="10"/>
  <c r="I96" i="10"/>
  <c r="H60" i="10"/>
  <c r="I11" i="10"/>
  <c r="G96" i="4"/>
  <c r="D22" i="13"/>
  <c r="D79" i="13" s="1"/>
  <c r="E53" i="11"/>
  <c r="D116" i="17"/>
  <c r="F45" i="5"/>
  <c r="F41" i="5"/>
  <c r="F37" i="5"/>
  <c r="F33" i="5"/>
  <c r="F29" i="5"/>
  <c r="F25" i="5"/>
  <c r="F21" i="5"/>
  <c r="F17" i="5"/>
  <c r="F43" i="5"/>
  <c r="F39" i="5"/>
  <c r="F35" i="5"/>
  <c r="F31" i="5"/>
  <c r="F27" i="5"/>
  <c r="F23" i="5"/>
  <c r="F19" i="5"/>
  <c r="F40" i="5"/>
  <c r="F32" i="5"/>
  <c r="F24" i="5"/>
  <c r="F16" i="5"/>
  <c r="F38" i="5"/>
  <c r="F30" i="5"/>
  <c r="F22" i="5"/>
  <c r="F44" i="5"/>
  <c r="F36" i="5"/>
  <c r="F28" i="5"/>
  <c r="F20" i="5"/>
  <c r="F42" i="5"/>
  <c r="F34" i="5"/>
  <c r="F26" i="5"/>
  <c r="F18" i="5"/>
  <c r="D26" i="13"/>
  <c r="D83" i="13" s="1"/>
  <c r="E57" i="11"/>
  <c r="C148" i="13"/>
  <c r="E207" i="13" s="1"/>
  <c r="E261" i="13"/>
  <c r="C124" i="13"/>
  <c r="E182" i="13" s="1"/>
  <c r="E237" i="13"/>
  <c r="C30" i="14"/>
  <c r="D84" i="11"/>
  <c r="E60" i="10"/>
  <c r="F11" i="10"/>
  <c r="E110" i="10"/>
  <c r="F96" i="10"/>
  <c r="D96" i="4"/>
  <c r="E45" i="10"/>
  <c r="F51" i="17"/>
  <c r="F104" i="17" s="1"/>
  <c r="G172" i="17" s="1"/>
  <c r="F120" i="12"/>
  <c r="C133" i="13"/>
  <c r="E191" i="13" s="1"/>
  <c r="E246" i="13"/>
  <c r="O64" i="4"/>
  <c r="P61" i="4" s="1"/>
  <c r="D14" i="13"/>
  <c r="D71" i="13" s="1"/>
  <c r="E45" i="11"/>
  <c r="J23" i="4"/>
  <c r="G35" i="7" s="1"/>
  <c r="G36" i="7" s="1"/>
  <c r="D67" i="4"/>
  <c r="E51" i="4"/>
  <c r="E230" i="17"/>
  <c r="E163" i="17"/>
  <c r="F211" i="17"/>
  <c r="F144" i="17"/>
  <c r="F155" i="17"/>
  <c r="F222" i="17"/>
  <c r="F145" i="17"/>
  <c r="F212" i="17"/>
  <c r="E29" i="17"/>
  <c r="E82" i="17" s="1"/>
  <c r="E112" i="11"/>
  <c r="C29" i="18"/>
  <c r="C60" i="18" s="1"/>
  <c r="D90" i="12"/>
  <c r="F21" i="17"/>
  <c r="F74" i="17" s="1"/>
  <c r="F104" i="11"/>
  <c r="C122" i="13"/>
  <c r="E180" i="13" s="1"/>
  <c r="E235" i="13"/>
  <c r="D23" i="13"/>
  <c r="D80" i="13" s="1"/>
  <c r="E54" i="11"/>
  <c r="C92" i="13"/>
  <c r="C127" i="13"/>
  <c r="E185" i="13" s="1"/>
  <c r="E240" i="13"/>
  <c r="J57" i="16"/>
  <c r="J59" i="16" s="1"/>
  <c r="G21" i="7"/>
  <c r="J48" i="6"/>
  <c r="F175" i="17"/>
  <c r="F239" i="17"/>
  <c r="D37" i="18"/>
  <c r="D65" i="18" s="1"/>
  <c r="E98" i="12"/>
  <c r="C167" i="13"/>
  <c r="E226" i="13" s="1"/>
  <c r="E277" i="13"/>
  <c r="D43" i="13"/>
  <c r="D100" i="13" s="1"/>
  <c r="E54" i="12"/>
  <c r="H218" i="17"/>
  <c r="H151" i="17"/>
  <c r="C70" i="14"/>
  <c r="E142" i="14" s="1"/>
  <c r="E155" i="14"/>
  <c r="C71" i="14"/>
  <c r="D57" i="13"/>
  <c r="D114" i="13" s="1"/>
  <c r="E68" i="12"/>
  <c r="F38" i="17"/>
  <c r="F91" i="17" s="1"/>
  <c r="F107" i="12"/>
  <c r="D187" i="17"/>
  <c r="D250" i="17"/>
  <c r="F158" i="17"/>
  <c r="F225" i="17"/>
  <c r="F200" i="17"/>
  <c r="F133" i="17"/>
  <c r="F25" i="17"/>
  <c r="F78" i="17" s="1"/>
  <c r="F108" i="11"/>
  <c r="D24" i="13"/>
  <c r="D81" i="13" s="1"/>
  <c r="E55" i="11"/>
  <c r="D17" i="14"/>
  <c r="E71" i="11"/>
  <c r="C130" i="13"/>
  <c r="E188" i="13" s="1"/>
  <c r="E243" i="13"/>
  <c r="C23" i="18"/>
  <c r="C54" i="18" s="1"/>
  <c r="D84" i="12"/>
  <c r="D19" i="18"/>
  <c r="D50" i="18" s="1"/>
  <c r="E80" i="12"/>
  <c r="I185" i="18"/>
  <c r="G33" i="7" s="1"/>
  <c r="F240" i="17"/>
  <c r="F176" i="17"/>
  <c r="C25" i="18"/>
  <c r="C56" i="18" s="1"/>
  <c r="D86" i="12"/>
  <c r="E48" i="17"/>
  <c r="E101" i="17" s="1"/>
  <c r="E117" i="12"/>
  <c r="F22" i="17"/>
  <c r="F75" i="17" s="1"/>
  <c r="F105" i="11"/>
  <c r="D59" i="11"/>
  <c r="C28" i="13"/>
  <c r="C85" i="13" s="1"/>
  <c r="D32" i="18"/>
  <c r="E93" i="12"/>
  <c r="D59" i="13"/>
  <c r="D116" i="13" s="1"/>
  <c r="E70" i="12"/>
  <c r="G197" i="17"/>
  <c r="G130" i="17"/>
  <c r="C146" i="13"/>
  <c r="E205" i="13" s="1"/>
  <c r="E259" i="13"/>
  <c r="C51" i="13"/>
  <c r="C108" i="13" s="1"/>
  <c r="D62" i="12"/>
  <c r="J34" i="15"/>
  <c r="D31" i="18"/>
  <c r="E92" i="12"/>
  <c r="E63" i="12"/>
  <c r="D52" i="13"/>
  <c r="D109" i="13" s="1"/>
  <c r="F11" i="17"/>
  <c r="F64" i="17" s="1"/>
  <c r="F94" i="11"/>
  <c r="E217" i="17"/>
  <c r="E150" i="17"/>
  <c r="G202" i="17"/>
  <c r="G135" i="17"/>
  <c r="K39" i="16"/>
  <c r="B153" i="13"/>
  <c r="D212" i="13" s="1"/>
  <c r="D266" i="13"/>
  <c r="D121" i="13"/>
  <c r="F179" i="13" s="1"/>
  <c r="F234" i="13"/>
  <c r="F209" i="17"/>
  <c r="F142" i="17"/>
  <c r="D13" i="13"/>
  <c r="D70" i="13" s="1"/>
  <c r="E44" i="11"/>
  <c r="D115" i="17"/>
  <c r="D23" i="14"/>
  <c r="D47" i="14" s="1"/>
  <c r="E77" i="11"/>
  <c r="F40" i="17"/>
  <c r="F93" i="17" s="1"/>
  <c r="F109" i="12"/>
  <c r="D20" i="14"/>
  <c r="D44" i="14" s="1"/>
  <c r="E74" i="11"/>
  <c r="D35" i="13"/>
  <c r="E46" i="12"/>
  <c r="M67" i="4"/>
  <c r="D18" i="13"/>
  <c r="D75" i="13" s="1"/>
  <c r="E49" i="11"/>
  <c r="F139" i="17"/>
  <c r="F206" i="17"/>
  <c r="D42" i="13"/>
  <c r="D99" i="13" s="1"/>
  <c r="E53" i="12"/>
  <c r="D19" i="14"/>
  <c r="D43" i="14" s="1"/>
  <c r="E73" i="11"/>
  <c r="E242" i="13"/>
  <c r="D58" i="12"/>
  <c r="C47" i="13"/>
  <c r="C104" i="13" s="1"/>
  <c r="E49" i="17"/>
  <c r="E102" i="17" s="1"/>
  <c r="E118" i="12"/>
  <c r="F154" i="17"/>
  <c r="F221" i="17"/>
  <c r="J265" i="17"/>
  <c r="J266" i="17"/>
  <c r="J267" i="17"/>
  <c r="J268" i="17"/>
  <c r="J243" i="17"/>
  <c r="J205" i="17"/>
  <c r="J214" i="17"/>
  <c r="J219" i="17"/>
  <c r="J152" i="17"/>
  <c r="C50" i="13"/>
  <c r="C107" i="13" s="1"/>
  <c r="D61" i="12"/>
  <c r="C145" i="13"/>
  <c r="E204" i="13" s="1"/>
  <c r="E258" i="13"/>
  <c r="D15" i="18"/>
  <c r="D46" i="18" s="1"/>
  <c r="E76" i="12"/>
  <c r="E43" i="17"/>
  <c r="E96" i="17" s="1"/>
  <c r="E112" i="12"/>
  <c r="E45" i="17"/>
  <c r="E98" i="17" s="1"/>
  <c r="E114" i="12"/>
  <c r="E164" i="18"/>
  <c r="E167" i="18"/>
  <c r="C126" i="18"/>
  <c r="C143" i="18" s="1"/>
  <c r="E156" i="18" s="1"/>
  <c r="E163" i="18"/>
  <c r="C125" i="18"/>
  <c r="C142" i="18" s="1"/>
  <c r="E155" i="18" s="1"/>
  <c r="C124" i="18"/>
  <c r="C141" i="18" s="1"/>
  <c r="C166" i="13"/>
  <c r="E225" i="13" s="1"/>
  <c r="E276" i="13"/>
  <c r="F162" i="17"/>
  <c r="F229" i="17"/>
  <c r="G10" i="17"/>
  <c r="G63" i="17" s="1"/>
  <c r="G93" i="11"/>
  <c r="D21" i="18"/>
  <c r="D52" i="18" s="1"/>
  <c r="E82" i="12"/>
  <c r="C26" i="18"/>
  <c r="C57" i="18" s="1"/>
  <c r="D87" i="12"/>
  <c r="F159" i="17"/>
  <c r="F226" i="17"/>
  <c r="E234" i="17"/>
  <c r="E167" i="17"/>
  <c r="C31" i="14"/>
  <c r="C55" i="14" s="1"/>
  <c r="D85" i="11"/>
  <c r="F39" i="17"/>
  <c r="F92" i="17" s="1"/>
  <c r="F108" i="12"/>
  <c r="C22" i="18"/>
  <c r="C53" i="18" s="1"/>
  <c r="D83" i="12"/>
  <c r="C68" i="4"/>
  <c r="C126" i="13"/>
  <c r="E184" i="13" s="1"/>
  <c r="E239" i="13"/>
  <c r="F213" i="17"/>
  <c r="F146" i="17"/>
  <c r="D10" i="5"/>
  <c r="C139" i="13"/>
  <c r="E197" i="13" s="1"/>
  <c r="E252" i="13"/>
  <c r="D56" i="13"/>
  <c r="D113" i="13" s="1"/>
  <c r="E67" i="12"/>
  <c r="D39" i="13"/>
  <c r="D96" i="13" s="1"/>
  <c r="E50" i="12"/>
  <c r="D15" i="13"/>
  <c r="D72" i="13" s="1"/>
  <c r="E46" i="11"/>
  <c r="D257" i="13"/>
  <c r="B144" i="13"/>
  <c r="D203" i="13" s="1"/>
  <c r="F204" i="17"/>
  <c r="F137" i="17"/>
  <c r="K19" i="4"/>
  <c r="K15" i="4"/>
  <c r="K11" i="4"/>
  <c r="K21" i="4"/>
  <c r="K17" i="4"/>
  <c r="K13" i="4"/>
  <c r="K9" i="4"/>
  <c r="K22" i="4"/>
  <c r="K20" i="4"/>
  <c r="K18" i="4"/>
  <c r="K16" i="4"/>
  <c r="K14" i="4"/>
  <c r="K12" i="4"/>
  <c r="K10" i="4"/>
  <c r="K8" i="4"/>
  <c r="D17" i="18"/>
  <c r="D48" i="18" s="1"/>
  <c r="E78" i="12"/>
  <c r="G11" i="7"/>
  <c r="J35" i="6"/>
  <c r="J180" i="18"/>
  <c r="J181" i="18"/>
  <c r="F55" i="17"/>
  <c r="F108" i="17" s="1"/>
  <c r="F124" i="12"/>
  <c r="D251" i="17"/>
  <c r="D188" i="17"/>
  <c r="B158" i="13"/>
  <c r="D217" i="13" s="1"/>
  <c r="D271" i="13"/>
  <c r="D63" i="14"/>
  <c r="D64" i="14"/>
  <c r="G9" i="17"/>
  <c r="G62" i="17" s="1"/>
  <c r="G92" i="11"/>
  <c r="D19" i="13"/>
  <c r="D76" i="13" s="1"/>
  <c r="E50" i="11"/>
  <c r="F242" i="17"/>
  <c r="F178" i="17"/>
  <c r="G14" i="17"/>
  <c r="G67" i="17" s="1"/>
  <c r="G97" i="11"/>
  <c r="D55" i="12"/>
  <c r="C44" i="13"/>
  <c r="C101" i="13" s="1"/>
  <c r="E12" i="13"/>
  <c r="E69" i="13" s="1"/>
  <c r="F43" i="11"/>
  <c r="D25" i="14"/>
  <c r="E79" i="11"/>
  <c r="E232" i="17"/>
  <c r="E165" i="17"/>
  <c r="D27" i="13"/>
  <c r="D84" i="13" s="1"/>
  <c r="E58" i="11"/>
  <c r="D30" i="18"/>
  <c r="D61" i="18" s="1"/>
  <c r="E91" i="12"/>
  <c r="F18" i="17"/>
  <c r="F71" i="17" s="1"/>
  <c r="F101" i="11"/>
  <c r="F156" i="17"/>
  <c r="F223" i="17"/>
  <c r="H10" i="7"/>
  <c r="K38" i="6"/>
  <c r="D78" i="14"/>
  <c r="D79" i="14"/>
  <c r="D20" i="18"/>
  <c r="D51" i="18" s="1"/>
  <c r="E81" i="12"/>
  <c r="F33" i="17"/>
  <c r="F86" i="17" s="1"/>
  <c r="F102" i="12"/>
  <c r="D34" i="18"/>
  <c r="D62" i="18" s="1"/>
  <c r="E95" i="12"/>
  <c r="F41" i="17"/>
  <c r="F94" i="17" s="1"/>
  <c r="F110" i="12"/>
  <c r="E46" i="17"/>
  <c r="E99" i="17" s="1"/>
  <c r="E115" i="12"/>
  <c r="C24" i="18"/>
  <c r="C55" i="18" s="1"/>
  <c r="D85" i="12"/>
  <c r="F203" i="17"/>
  <c r="F136" i="17"/>
  <c r="D41" i="13"/>
  <c r="D98" i="13" s="1"/>
  <c r="E52" i="12"/>
  <c r="E11" i="10"/>
  <c r="D110" i="10"/>
  <c r="E96" i="10"/>
  <c r="D60" i="10"/>
  <c r="C96" i="4"/>
  <c r="D45" i="10"/>
  <c r="G224" i="17"/>
  <c r="G157" i="17"/>
  <c r="F171" i="17"/>
  <c r="F238" i="17"/>
  <c r="D21" i="13"/>
  <c r="D78" i="13" s="1"/>
  <c r="E52" i="11"/>
  <c r="E110" i="11"/>
  <c r="D35" i="18"/>
  <c r="D63" i="18" s="1"/>
  <c r="E96" i="12"/>
  <c r="E236" i="17"/>
  <c r="E169" i="17"/>
  <c r="F143" i="17"/>
  <c r="F210" i="17"/>
  <c r="D250" i="13"/>
  <c r="B137" i="13"/>
  <c r="D195" i="13" s="1"/>
  <c r="C168" i="13"/>
  <c r="E227" i="13" s="1"/>
  <c r="E278" i="13"/>
  <c r="F19" i="17"/>
  <c r="F72" i="17" s="1"/>
  <c r="F102" i="11"/>
  <c r="D37" i="13"/>
  <c r="D94" i="13" s="1"/>
  <c r="E48" i="12"/>
  <c r="B160" i="13"/>
  <c r="D219" i="13" s="1"/>
  <c r="D273" i="13"/>
  <c r="C161" i="13"/>
  <c r="E220" i="13" s="1"/>
  <c r="E274" i="13"/>
  <c r="F199" i="17"/>
  <c r="F132" i="17"/>
  <c r="F53" i="17"/>
  <c r="F106" i="17" s="1"/>
  <c r="G174" i="17" s="1"/>
  <c r="F122" i="12"/>
  <c r="D56" i="12"/>
  <c r="C45" i="13"/>
  <c r="C102" i="13" s="1"/>
  <c r="D26" i="14"/>
  <c r="D50" i="14" s="1"/>
  <c r="E80" i="11"/>
  <c r="K57" i="16"/>
  <c r="H21" i="7"/>
  <c r="K48" i="6"/>
  <c r="E16" i="13"/>
  <c r="E73" i="13" s="1"/>
  <c r="F47" i="11"/>
  <c r="E28" i="17"/>
  <c r="E81" i="17" s="1"/>
  <c r="E111" i="11"/>
  <c r="D62" i="11"/>
  <c r="C31" i="13"/>
  <c r="C88" i="13" s="1"/>
  <c r="E13" i="14"/>
  <c r="F67" i="11"/>
  <c r="D114" i="17"/>
  <c r="C95" i="14"/>
  <c r="C96" i="14"/>
  <c r="F161" i="17"/>
  <c r="F228" i="17"/>
  <c r="C46" i="13"/>
  <c r="C103" i="13" s="1"/>
  <c r="D57" i="12"/>
  <c r="F13" i="17"/>
  <c r="F66" i="17" s="1"/>
  <c r="F96" i="11"/>
  <c r="C134" i="13"/>
  <c r="E192" i="13" s="1"/>
  <c r="E247" i="13"/>
  <c r="D60" i="11"/>
  <c r="C29" i="13"/>
  <c r="C86" i="13" s="1"/>
  <c r="F56" i="17"/>
  <c r="F109" i="17" s="1"/>
  <c r="F125" i="12"/>
  <c r="D29" i="14"/>
  <c r="D53" i="14" s="1"/>
  <c r="E83" i="11"/>
  <c r="C151" i="13"/>
  <c r="E210" i="13" s="1"/>
  <c r="E264" i="13"/>
  <c r="E11" i="13"/>
  <c r="F42" i="11"/>
  <c r="D20" i="13"/>
  <c r="D77" i="13" s="1"/>
  <c r="E51" i="11"/>
  <c r="B156" i="13"/>
  <c r="D215" i="13" s="1"/>
  <c r="D269" i="13"/>
  <c r="C27" i="18"/>
  <c r="C58" i="18" s="1"/>
  <c r="D88" i="12"/>
  <c r="B33" i="13"/>
  <c r="B65" i="13" s="1"/>
  <c r="D200" i="13" s="1"/>
  <c r="E237" i="17"/>
  <c r="E170" i="17"/>
  <c r="D14" i="18"/>
  <c r="E75" i="12"/>
  <c r="B159" i="13"/>
  <c r="D218" i="13" s="1"/>
  <c r="D272" i="13"/>
  <c r="D36" i="13"/>
  <c r="D93" i="13" s="1"/>
  <c r="E47" i="12"/>
  <c r="E164" i="17"/>
  <c r="E231" i="17"/>
  <c r="E166" i="17"/>
  <c r="E233" i="17"/>
  <c r="D118" i="17"/>
  <c r="D36" i="18"/>
  <c r="D64" i="18" s="1"/>
  <c r="E97" i="12"/>
  <c r="G198" i="17"/>
  <c r="G131" i="17"/>
  <c r="D22" i="14"/>
  <c r="D46" i="14" s="1"/>
  <c r="E76" i="11"/>
  <c r="E47" i="17"/>
  <c r="E100" i="17" s="1"/>
  <c r="E116" i="12"/>
  <c r="D28" i="14"/>
  <c r="D52" i="14" s="1"/>
  <c r="E82" i="11"/>
  <c r="D168" i="18"/>
  <c r="D154" i="18"/>
  <c r="D159" i="18" s="1"/>
  <c r="D169" i="18"/>
  <c r="D253" i="17"/>
  <c r="F160" i="17"/>
  <c r="F227" i="17"/>
  <c r="C120" i="13"/>
  <c r="E233" i="13"/>
  <c r="D52" i="4"/>
  <c r="D65" i="4"/>
  <c r="C13" i="8" s="1"/>
  <c r="C15" i="8" s="1"/>
  <c r="D17" i="13"/>
  <c r="D74" i="13" s="1"/>
  <c r="E48" i="11"/>
  <c r="J294" i="13"/>
  <c r="J301" i="13" s="1"/>
  <c r="H28" i="7" s="1"/>
  <c r="J280" i="13"/>
  <c r="J279" i="13"/>
  <c r="J255" i="13"/>
  <c r="J254" i="13"/>
  <c r="J222" i="13"/>
  <c r="J221" i="13"/>
  <c r="J199" i="13"/>
  <c r="J223" i="13"/>
  <c r="F20" i="17"/>
  <c r="F73" i="17" s="1"/>
  <c r="F103" i="11"/>
  <c r="D59" i="12"/>
  <c r="C48" i="13"/>
  <c r="C105" i="13" s="1"/>
  <c r="D30" i="13"/>
  <c r="D87" i="13" s="1"/>
  <c r="E61" i="11"/>
  <c r="C165" i="13"/>
  <c r="E224" i="13" s="1"/>
  <c r="E275" i="13"/>
  <c r="C149" i="13"/>
  <c r="E208" i="13" s="1"/>
  <c r="E262" i="13"/>
  <c r="D18" i="18"/>
  <c r="D49" i="18" s="1"/>
  <c r="E79" i="12"/>
  <c r="E38" i="13"/>
  <c r="E95" i="13" s="1"/>
  <c r="F49" i="12"/>
  <c r="C131" i="13"/>
  <c r="E189" i="13" s="1"/>
  <c r="E244" i="13"/>
  <c r="G110" i="10"/>
  <c r="H96" i="10"/>
  <c r="F96" i="4"/>
  <c r="G60" i="10"/>
  <c r="H11" i="10"/>
  <c r="F110" i="10"/>
  <c r="G96" i="10"/>
  <c r="F60" i="10"/>
  <c r="G11" i="10"/>
  <c r="E96" i="4"/>
  <c r="F59" i="5" l="1"/>
  <c r="F60" i="5" s="1"/>
  <c r="F61" i="5" s="1"/>
  <c r="F62" i="5" s="1"/>
  <c r="F63" i="5" s="1"/>
  <c r="F64" i="5" s="1"/>
  <c r="F65" i="5" s="1"/>
  <c r="F66" i="5" s="1"/>
  <c r="F67" i="5" s="1"/>
  <c r="F68" i="5" s="1"/>
  <c r="F69" i="5" s="1"/>
  <c r="G164" i="10"/>
  <c r="L137" i="14"/>
  <c r="M137" i="14" s="1"/>
  <c r="O137" i="14" s="1"/>
  <c r="F109" i="11"/>
  <c r="F27" i="17"/>
  <c r="D284" i="13"/>
  <c r="J185" i="18"/>
  <c r="H33" i="7" s="1"/>
  <c r="C54" i="14"/>
  <c r="C59" i="14" s="1"/>
  <c r="E152" i="14"/>
  <c r="D160" i="14"/>
  <c r="B61" i="14"/>
  <c r="D141" i="14" s="1"/>
  <c r="G45" i="10"/>
  <c r="O58" i="4"/>
  <c r="P55" i="4" s="1"/>
  <c r="P56" i="4" s="1"/>
  <c r="P57" i="4" s="1"/>
  <c r="P39" i="4"/>
  <c r="D60" i="14"/>
  <c r="E188" i="17"/>
  <c r="D49" i="14"/>
  <c r="D102" i="14" s="1"/>
  <c r="F154" i="14"/>
  <c r="B12" i="14"/>
  <c r="D158" i="14" s="1"/>
  <c r="D156" i="14"/>
  <c r="E17" i="6" s="1"/>
  <c r="D167" i="14" s="1"/>
  <c r="D41" i="14"/>
  <c r="F153" i="14"/>
  <c r="C101" i="14"/>
  <c r="C74" i="14"/>
  <c r="E140" i="14" s="1"/>
  <c r="C73" i="14"/>
  <c r="E15" i="6"/>
  <c r="D260" i="17" s="1"/>
  <c r="D262" i="17" s="1"/>
  <c r="C33" i="13"/>
  <c r="C65" i="13" s="1"/>
  <c r="E200" i="13" s="1"/>
  <c r="B35" i="14"/>
  <c r="D146" i="14" s="1"/>
  <c r="D191" i="17"/>
  <c r="B12" i="7" s="1"/>
  <c r="D285" i="13"/>
  <c r="E144" i="14"/>
  <c r="G149" i="10"/>
  <c r="G23" i="9"/>
  <c r="G179" i="10"/>
  <c r="N51" i="4"/>
  <c r="N43" i="4"/>
  <c r="M68" i="4"/>
  <c r="Q38" i="4"/>
  <c r="Q40" i="4" s="1"/>
  <c r="R37" i="4" s="1"/>
  <c r="G241" i="17"/>
  <c r="G177" i="17"/>
  <c r="E37" i="14"/>
  <c r="F259" i="13"/>
  <c r="D146" i="13"/>
  <c r="F205" i="13" s="1"/>
  <c r="E34" i="18"/>
  <c r="E62" i="18" s="1"/>
  <c r="F95" i="12"/>
  <c r="G240" i="17"/>
  <c r="G176" i="17"/>
  <c r="E17" i="18"/>
  <c r="E48" i="18" s="1"/>
  <c r="F78" i="12"/>
  <c r="E15" i="13"/>
  <c r="E72" i="13" s="1"/>
  <c r="F46" i="11"/>
  <c r="E10" i="5"/>
  <c r="E15" i="18"/>
  <c r="E46" i="18" s="1"/>
  <c r="F76" i="12"/>
  <c r="J273" i="17"/>
  <c r="H32" i="7" s="1"/>
  <c r="F170" i="17"/>
  <c r="F237" i="17"/>
  <c r="F264" i="13"/>
  <c r="D151" i="13"/>
  <c r="F210" i="13" s="1"/>
  <c r="D92" i="13"/>
  <c r="E183" i="17"/>
  <c r="E246" i="17"/>
  <c r="G210" i="17"/>
  <c r="G143" i="17"/>
  <c r="E19" i="18"/>
  <c r="E50" i="18" s="1"/>
  <c r="F80" i="12"/>
  <c r="E24" i="13"/>
  <c r="E81" i="13" s="1"/>
  <c r="F55" i="11"/>
  <c r="E57" i="13"/>
  <c r="E114" i="13" s="1"/>
  <c r="F68" i="12"/>
  <c r="F51" i="4"/>
  <c r="E67" i="4"/>
  <c r="D123" i="13"/>
  <c r="F181" i="13" s="1"/>
  <c r="F236" i="13"/>
  <c r="G37" i="17"/>
  <c r="G90" i="17" s="1"/>
  <c r="G106" i="12"/>
  <c r="E16" i="14"/>
  <c r="E40" i="14" s="1"/>
  <c r="F70" i="11"/>
  <c r="G208" i="17"/>
  <c r="G141" i="17"/>
  <c r="D68" i="4"/>
  <c r="E49" i="4"/>
  <c r="F47" i="17"/>
  <c r="F100" i="17" s="1"/>
  <c r="F116" i="12"/>
  <c r="F38" i="13"/>
  <c r="F95" i="13" s="1"/>
  <c r="G49" i="12"/>
  <c r="E30" i="13"/>
  <c r="E87" i="13" s="1"/>
  <c r="F61" i="11"/>
  <c r="G20" i="17"/>
  <c r="G73" i="17" s="1"/>
  <c r="G103" i="11"/>
  <c r="B13" i="7"/>
  <c r="E39" i="6"/>
  <c r="D129" i="13"/>
  <c r="F187" i="13" s="1"/>
  <c r="F242" i="13"/>
  <c r="C155" i="13"/>
  <c r="E214" i="13" s="1"/>
  <c r="E268" i="13"/>
  <c r="F149" i="17"/>
  <c r="F216" i="17"/>
  <c r="E267" i="13"/>
  <c r="C154" i="13"/>
  <c r="E213" i="13" s="1"/>
  <c r="E35" i="18"/>
  <c r="E63" i="18" s="1"/>
  <c r="F96" i="12"/>
  <c r="E21" i="13"/>
  <c r="E78" i="13" s="1"/>
  <c r="F52" i="11"/>
  <c r="F46" i="17"/>
  <c r="F99" i="17" s="1"/>
  <c r="F115" i="12"/>
  <c r="E20" i="18"/>
  <c r="E51" i="18" s="1"/>
  <c r="F81" i="12"/>
  <c r="E30" i="18"/>
  <c r="E61" i="18" s="1"/>
  <c r="F91" i="12"/>
  <c r="F12" i="13"/>
  <c r="F69" i="13" s="1"/>
  <c r="G43" i="11"/>
  <c r="H14" i="17"/>
  <c r="H67" i="17" s="1"/>
  <c r="H97" i="11"/>
  <c r="I14" i="17" s="1"/>
  <c r="I67" i="17" s="1"/>
  <c r="E19" i="13"/>
  <c r="E76" i="13" s="1"/>
  <c r="F50" i="11"/>
  <c r="E56" i="13"/>
  <c r="E113" i="13" s="1"/>
  <c r="F67" i="12"/>
  <c r="H179" i="10"/>
  <c r="H134" i="10"/>
  <c r="H149" i="10"/>
  <c r="H23" i="9"/>
  <c r="H45" i="10"/>
  <c r="H164" i="10"/>
  <c r="G227" i="17"/>
  <c r="G160" i="17"/>
  <c r="H198" i="17"/>
  <c r="H131" i="17"/>
  <c r="F45" i="17"/>
  <c r="F98" i="17" s="1"/>
  <c r="F114" i="12"/>
  <c r="E61" i="12"/>
  <c r="D50" i="13"/>
  <c r="D107" i="13" s="1"/>
  <c r="D127" i="13"/>
  <c r="F185" i="13" s="1"/>
  <c r="F240" i="13"/>
  <c r="G40" i="17"/>
  <c r="G93" i="17" s="1"/>
  <c r="G109" i="12"/>
  <c r="F274" i="13"/>
  <c r="D161" i="13"/>
  <c r="F220" i="13" s="1"/>
  <c r="F265" i="13"/>
  <c r="D152" i="13"/>
  <c r="F211" i="13" s="1"/>
  <c r="C61" i="13"/>
  <c r="D29" i="18"/>
  <c r="D60" i="18" s="1"/>
  <c r="E90" i="12"/>
  <c r="D135" i="13"/>
  <c r="F193" i="13" s="1"/>
  <c r="F248" i="13"/>
  <c r="E119" i="17"/>
  <c r="G50" i="17"/>
  <c r="G103" i="17" s="1"/>
  <c r="G119" i="12"/>
  <c r="G15" i="17"/>
  <c r="G68" i="17" s="1"/>
  <c r="G98" i="11"/>
  <c r="I218" i="17"/>
  <c r="I151" i="17"/>
  <c r="E58" i="13"/>
  <c r="E115" i="13" s="1"/>
  <c r="F69" i="12"/>
  <c r="C39" i="18"/>
  <c r="C110" i="10"/>
  <c r="D96" i="10"/>
  <c r="C60" i="10"/>
  <c r="B96" i="4"/>
  <c r="D11" i="10"/>
  <c r="C45" i="10"/>
  <c r="G54" i="17"/>
  <c r="G107" i="17" s="1"/>
  <c r="G123" i="12"/>
  <c r="G35" i="17"/>
  <c r="G88" i="17" s="1"/>
  <c r="G104" i="12"/>
  <c r="D134" i="13"/>
  <c r="F192" i="13" s="1"/>
  <c r="F247" i="13"/>
  <c r="G222" i="17"/>
  <c r="G155" i="17"/>
  <c r="G242" i="17"/>
  <c r="G178" i="17"/>
  <c r="G211" i="17"/>
  <c r="G144" i="17"/>
  <c r="F163" i="17"/>
  <c r="F230" i="17"/>
  <c r="E24" i="14"/>
  <c r="E48" i="14" s="1"/>
  <c r="F78" i="11"/>
  <c r="G260" i="13"/>
  <c r="E147" i="13"/>
  <c r="G206" i="13" s="1"/>
  <c r="D139" i="13"/>
  <c r="F197" i="13" s="1"/>
  <c r="F252" i="13"/>
  <c r="E36" i="18"/>
  <c r="E64" i="18" s="1"/>
  <c r="F97" i="12"/>
  <c r="E250" i="17"/>
  <c r="E187" i="17"/>
  <c r="F11" i="13"/>
  <c r="G42" i="11"/>
  <c r="E29" i="14"/>
  <c r="E53" i="14" s="1"/>
  <c r="F83" i="11"/>
  <c r="C138" i="13"/>
  <c r="E196" i="13" s="1"/>
  <c r="E251" i="13"/>
  <c r="G13" i="17"/>
  <c r="G66" i="17" s="1"/>
  <c r="G96" i="11"/>
  <c r="C140" i="13"/>
  <c r="E198" i="13" s="1"/>
  <c r="E253" i="13"/>
  <c r="F16" i="13"/>
  <c r="F73" i="13" s="1"/>
  <c r="G47" i="11"/>
  <c r="D45" i="13"/>
  <c r="D102" i="13" s="1"/>
  <c r="E56" i="12"/>
  <c r="G19" i="17"/>
  <c r="G72" i="17" s="1"/>
  <c r="G102" i="11"/>
  <c r="D130" i="13"/>
  <c r="F188" i="13" s="1"/>
  <c r="F243" i="13"/>
  <c r="E41" i="13"/>
  <c r="E98" i="13" s="1"/>
  <c r="F52" i="12"/>
  <c r="F167" i="17"/>
  <c r="F234" i="17"/>
  <c r="D124" i="18"/>
  <c r="D141" i="18" s="1"/>
  <c r="F164" i="18"/>
  <c r="D126" i="18"/>
  <c r="D143" i="18" s="1"/>
  <c r="F156" i="18" s="1"/>
  <c r="F163" i="18"/>
  <c r="D125" i="18"/>
  <c r="D142" i="18" s="1"/>
  <c r="F155" i="18" s="1"/>
  <c r="F167" i="18"/>
  <c r="G234" i="13"/>
  <c r="E121" i="13"/>
  <c r="G179" i="13" s="1"/>
  <c r="H202" i="17"/>
  <c r="H135" i="17"/>
  <c r="D128" i="13"/>
  <c r="F186" i="13" s="1"/>
  <c r="F241" i="13"/>
  <c r="D124" i="13"/>
  <c r="F182" i="13" s="1"/>
  <c r="F237" i="13"/>
  <c r="F275" i="13"/>
  <c r="D165" i="13"/>
  <c r="F224" i="13" s="1"/>
  <c r="D22" i="18"/>
  <c r="D53" i="18" s="1"/>
  <c r="E83" i="12"/>
  <c r="D31" i="14"/>
  <c r="D55" i="14" s="1"/>
  <c r="E85" i="11"/>
  <c r="E21" i="18"/>
  <c r="E52" i="18" s="1"/>
  <c r="F82" i="12"/>
  <c r="E154" i="18"/>
  <c r="E159" i="18" s="1"/>
  <c r="E169" i="18"/>
  <c r="E168" i="18"/>
  <c r="F166" i="17"/>
  <c r="F233" i="17"/>
  <c r="C159" i="13"/>
  <c r="E218" i="13" s="1"/>
  <c r="E272" i="13"/>
  <c r="E269" i="13"/>
  <c r="C156" i="13"/>
  <c r="E215" i="13" s="1"/>
  <c r="E19" i="14"/>
  <c r="E43" i="14" s="1"/>
  <c r="F73" i="11"/>
  <c r="E254" i="17"/>
  <c r="G228" i="17"/>
  <c r="G161" i="17"/>
  <c r="E13" i="13"/>
  <c r="E70" i="13" s="1"/>
  <c r="F44" i="11"/>
  <c r="K59" i="16"/>
  <c r="H11" i="7"/>
  <c r="K35" i="6"/>
  <c r="E52" i="13"/>
  <c r="E109" i="13" s="1"/>
  <c r="F63" i="12"/>
  <c r="J45" i="15"/>
  <c r="J47" i="15" s="1"/>
  <c r="H20" i="7"/>
  <c r="K51" i="6"/>
  <c r="C137" i="13"/>
  <c r="E195" i="13" s="1"/>
  <c r="E250" i="13"/>
  <c r="F48" i="17"/>
  <c r="F101" i="17" s="1"/>
  <c r="F117" i="12"/>
  <c r="D133" i="13"/>
  <c r="F191" i="13" s="1"/>
  <c r="F246" i="13"/>
  <c r="F276" i="13"/>
  <c r="D166" i="13"/>
  <c r="F225" i="13" s="1"/>
  <c r="C144" i="13"/>
  <c r="E203" i="13" s="1"/>
  <c r="E257" i="13"/>
  <c r="P62" i="4"/>
  <c r="P63" i="4" s="1"/>
  <c r="G51" i="17"/>
  <c r="G104" i="17" s="1"/>
  <c r="H172" i="17" s="1"/>
  <c r="G120" i="12"/>
  <c r="D30" i="14"/>
  <c r="E84" i="11"/>
  <c r="E22" i="13"/>
  <c r="E79" i="13" s="1"/>
  <c r="F53" i="11"/>
  <c r="G238" i="17"/>
  <c r="G171" i="17"/>
  <c r="G225" i="17"/>
  <c r="G158" i="17"/>
  <c r="G203" i="17"/>
  <c r="G136" i="17"/>
  <c r="D70" i="14"/>
  <c r="F142" i="14" s="1"/>
  <c r="F155" i="14"/>
  <c r="D71" i="14"/>
  <c r="F277" i="13"/>
  <c r="D167" i="13"/>
  <c r="F226" i="13" s="1"/>
  <c r="G239" i="17"/>
  <c r="G175" i="17"/>
  <c r="G223" i="17"/>
  <c r="G156" i="17"/>
  <c r="F44" i="17"/>
  <c r="F97" i="17" s="1"/>
  <c r="F113" i="12"/>
  <c r="G24" i="17"/>
  <c r="G77" i="17" s="1"/>
  <c r="G107" i="11"/>
  <c r="G52" i="17"/>
  <c r="G105" i="17" s="1"/>
  <c r="H173" i="17" s="1"/>
  <c r="G121" i="12"/>
  <c r="D28" i="18"/>
  <c r="D59" i="18" s="1"/>
  <c r="E89" i="12"/>
  <c r="F14" i="14"/>
  <c r="F38" i="14" s="1"/>
  <c r="G68" i="11"/>
  <c r="E271" i="13"/>
  <c r="C158" i="13"/>
  <c r="E217" i="13" s="1"/>
  <c r="B42" i="18"/>
  <c r="G16" i="17"/>
  <c r="G69" i="17" s="1"/>
  <c r="G99" i="11"/>
  <c r="O49" i="4"/>
  <c r="E116" i="17"/>
  <c r="E18" i="18"/>
  <c r="E49" i="18" s="1"/>
  <c r="F79" i="12"/>
  <c r="C157" i="13"/>
  <c r="E216" i="13" s="1"/>
  <c r="E270" i="13"/>
  <c r="E17" i="13"/>
  <c r="E74" i="13" s="1"/>
  <c r="F48" i="11"/>
  <c r="E28" i="14"/>
  <c r="E52" i="14" s="1"/>
  <c r="F82" i="11"/>
  <c r="F168" i="17"/>
  <c r="F235" i="17"/>
  <c r="E36" i="13"/>
  <c r="E93" i="13" s="1"/>
  <c r="F47" i="12"/>
  <c r="E14" i="18"/>
  <c r="F75" i="12"/>
  <c r="D229" i="13"/>
  <c r="B10" i="13"/>
  <c r="D282" i="13" s="1"/>
  <c r="E68" i="13"/>
  <c r="D29" i="13"/>
  <c r="D86" i="13" s="1"/>
  <c r="E60" i="11"/>
  <c r="G201" i="17"/>
  <c r="G134" i="17"/>
  <c r="E182" i="17"/>
  <c r="E245" i="17"/>
  <c r="E253" i="17"/>
  <c r="D31" i="13"/>
  <c r="D88" i="13" s="1"/>
  <c r="E62" i="11"/>
  <c r="G238" i="13"/>
  <c r="E125" i="13"/>
  <c r="G183" i="13" s="1"/>
  <c r="E26" i="14"/>
  <c r="E50" i="14" s="1"/>
  <c r="F80" i="11"/>
  <c r="G53" i="17"/>
  <c r="G106" i="17" s="1"/>
  <c r="H174" i="17" s="1"/>
  <c r="G122" i="12"/>
  <c r="G207" i="17"/>
  <c r="G140" i="17"/>
  <c r="F80" i="17"/>
  <c r="F110" i="11"/>
  <c r="F263" i="13"/>
  <c r="D150" i="13"/>
  <c r="F209" i="13" s="1"/>
  <c r="D24" i="18"/>
  <c r="D55" i="18" s="1"/>
  <c r="E85" i="12"/>
  <c r="G41" i="17"/>
  <c r="G94" i="17" s="1"/>
  <c r="G110" i="12"/>
  <c r="G33" i="17"/>
  <c r="G86" i="17" s="1"/>
  <c r="G102" i="12"/>
  <c r="I157" i="10"/>
  <c r="I172" i="10"/>
  <c r="I127" i="10"/>
  <c r="I142" i="10"/>
  <c r="I34" i="10"/>
  <c r="G18" i="17"/>
  <c r="G71" i="17" s="1"/>
  <c r="G101" i="11"/>
  <c r="E27" i="13"/>
  <c r="E84" i="13" s="1"/>
  <c r="F58" i="11"/>
  <c r="E25" i="14"/>
  <c r="F79" i="11"/>
  <c r="C153" i="13"/>
  <c r="E212" i="13" s="1"/>
  <c r="E266" i="13"/>
  <c r="H9" i="17"/>
  <c r="H62" i="17" s="1"/>
  <c r="H92" i="11"/>
  <c r="I9" i="17" s="1"/>
  <c r="I62" i="17" s="1"/>
  <c r="H143" i="10"/>
  <c r="H158" i="10"/>
  <c r="H173" i="10"/>
  <c r="H128" i="10"/>
  <c r="H35" i="10"/>
  <c r="K23" i="4"/>
  <c r="H35" i="7" s="1"/>
  <c r="E39" i="13"/>
  <c r="E96" i="13" s="1"/>
  <c r="F50" i="12"/>
  <c r="F43" i="17"/>
  <c r="F96" i="17" s="1"/>
  <c r="F112" i="12"/>
  <c r="D47" i="13"/>
  <c r="D104" i="13" s="1"/>
  <c r="E58" i="12"/>
  <c r="E20" i="14"/>
  <c r="E44" i="14" s="1"/>
  <c r="F74" i="11"/>
  <c r="E23" i="14"/>
  <c r="E47" i="14" s="1"/>
  <c r="F77" i="11"/>
  <c r="D122" i="13"/>
  <c r="F180" i="13" s="1"/>
  <c r="F235" i="13"/>
  <c r="G11" i="17"/>
  <c r="G64" i="17" s="1"/>
  <c r="G94" i="11"/>
  <c r="E62" i="12"/>
  <c r="D51" i="13"/>
  <c r="D108" i="13" s="1"/>
  <c r="E59" i="13"/>
  <c r="E116" i="13" s="1"/>
  <c r="F70" i="12"/>
  <c r="D28" i="13"/>
  <c r="D85" i="13" s="1"/>
  <c r="E59" i="11"/>
  <c r="F169" i="17"/>
  <c r="F236" i="17"/>
  <c r="D23" i="18"/>
  <c r="D54" i="18" s="1"/>
  <c r="E84" i="12"/>
  <c r="E17" i="14"/>
  <c r="F71" i="11"/>
  <c r="G25" i="17"/>
  <c r="G78" i="17" s="1"/>
  <c r="G108" i="11"/>
  <c r="G38" i="17"/>
  <c r="G91" i="17" s="1"/>
  <c r="G107" i="12"/>
  <c r="E23" i="13"/>
  <c r="E80" i="13" s="1"/>
  <c r="F54" i="11"/>
  <c r="G21" i="17"/>
  <c r="G74" i="17" s="1"/>
  <c r="G104" i="11"/>
  <c r="F29" i="17"/>
  <c r="F82" i="17" s="1"/>
  <c r="F112" i="11"/>
  <c r="E184" i="17"/>
  <c r="E247" i="17"/>
  <c r="D131" i="13"/>
  <c r="F189" i="13" s="1"/>
  <c r="F244" i="13"/>
  <c r="E40" i="13"/>
  <c r="E97" i="13" s="1"/>
  <c r="F51" i="12"/>
  <c r="G12" i="17"/>
  <c r="G65" i="17" s="1"/>
  <c r="G95" i="11"/>
  <c r="H36" i="17"/>
  <c r="H89" i="17" s="1"/>
  <c r="H105" i="12"/>
  <c r="I36" i="17" s="1"/>
  <c r="I89" i="17" s="1"/>
  <c r="E27" i="14"/>
  <c r="E51" i="14" s="1"/>
  <c r="F81" i="11"/>
  <c r="C32" i="14"/>
  <c r="E156" i="14" s="1"/>
  <c r="F16" i="18"/>
  <c r="F47" i="18" s="1"/>
  <c r="G77" i="12"/>
  <c r="E33" i="18"/>
  <c r="F94" i="12"/>
  <c r="F18" i="14"/>
  <c r="F42" i="14" s="1"/>
  <c r="G72" i="11"/>
  <c r="F165" i="17"/>
  <c r="F232" i="17"/>
  <c r="G212" i="17"/>
  <c r="G145" i="17"/>
  <c r="E64" i="14"/>
  <c r="E63" i="14"/>
  <c r="D49" i="13"/>
  <c r="D106" i="13" s="1"/>
  <c r="E60" i="12"/>
  <c r="E15" i="14"/>
  <c r="E39" i="14" s="1"/>
  <c r="F69" i="11"/>
  <c r="G204" i="17"/>
  <c r="G137" i="17"/>
  <c r="E114" i="17"/>
  <c r="D48" i="13"/>
  <c r="D105" i="13" s="1"/>
  <c r="E59" i="12"/>
  <c r="D126" i="13"/>
  <c r="F184" i="13" s="1"/>
  <c r="F239" i="13"/>
  <c r="E178" i="13"/>
  <c r="E22" i="14"/>
  <c r="E46" i="14" s="1"/>
  <c r="F76" i="11"/>
  <c r="F258" i="13"/>
  <c r="D145" i="13"/>
  <c r="F204" i="13" s="1"/>
  <c r="D45" i="18"/>
  <c r="D27" i="18"/>
  <c r="D58" i="18" s="1"/>
  <c r="E88" i="12"/>
  <c r="E20" i="13"/>
  <c r="E77" i="13" s="1"/>
  <c r="F51" i="11"/>
  <c r="G56" i="17"/>
  <c r="G109" i="17" s="1"/>
  <c r="G125" i="12"/>
  <c r="D46" i="13"/>
  <c r="D103" i="13" s="1"/>
  <c r="E57" i="12"/>
  <c r="F13" i="14"/>
  <c r="G67" i="11"/>
  <c r="F28" i="17"/>
  <c r="F81" i="17" s="1"/>
  <c r="F111" i="11"/>
  <c r="E37" i="13"/>
  <c r="E94" i="13" s="1"/>
  <c r="F48" i="12"/>
  <c r="F215" i="17"/>
  <c r="F148" i="17"/>
  <c r="G229" i="17"/>
  <c r="G162" i="17"/>
  <c r="G221" i="17"/>
  <c r="G154" i="17"/>
  <c r="G206" i="17"/>
  <c r="G139" i="17"/>
  <c r="D136" i="13"/>
  <c r="F194" i="13" s="1"/>
  <c r="F249" i="13"/>
  <c r="D44" i="13"/>
  <c r="D101" i="13" s="1"/>
  <c r="E55" i="12"/>
  <c r="H197" i="17"/>
  <c r="H130" i="17"/>
  <c r="G55" i="17"/>
  <c r="G108" i="17" s="1"/>
  <c r="G124" i="12"/>
  <c r="E115" i="17"/>
  <c r="F261" i="13"/>
  <c r="D148" i="13"/>
  <c r="F207" i="13" s="1"/>
  <c r="G39" i="17"/>
  <c r="G92" i="17" s="1"/>
  <c r="G108" i="12"/>
  <c r="D26" i="18"/>
  <c r="D57" i="18" s="1"/>
  <c r="E87" i="12"/>
  <c r="H10" i="17"/>
  <c r="H63" i="17" s="1"/>
  <c r="H93" i="11"/>
  <c r="I10" i="17" s="1"/>
  <c r="I63" i="17" s="1"/>
  <c r="F164" i="17"/>
  <c r="F231" i="17"/>
  <c r="F49" i="17"/>
  <c r="F102" i="17" s="1"/>
  <c r="F118" i="12"/>
  <c r="E42" i="13"/>
  <c r="E99" i="13" s="1"/>
  <c r="F53" i="12"/>
  <c r="E18" i="13"/>
  <c r="E75" i="13" s="1"/>
  <c r="F49" i="11"/>
  <c r="E35" i="13"/>
  <c r="F46" i="12"/>
  <c r="D95" i="14"/>
  <c r="D96" i="14"/>
  <c r="G199" i="17"/>
  <c r="G132" i="17"/>
  <c r="E31" i="18"/>
  <c r="F92" i="12"/>
  <c r="C160" i="13"/>
  <c r="E219" i="13" s="1"/>
  <c r="E273" i="13"/>
  <c r="F278" i="13"/>
  <c r="D168" i="13"/>
  <c r="F227" i="13" s="1"/>
  <c r="E32" i="18"/>
  <c r="F93" i="12"/>
  <c r="G22" i="17"/>
  <c r="G75" i="17" s="1"/>
  <c r="G105" i="11"/>
  <c r="D25" i="18"/>
  <c r="D56" i="18" s="1"/>
  <c r="E86" i="12"/>
  <c r="G213" i="17"/>
  <c r="G146" i="17"/>
  <c r="G226" i="17"/>
  <c r="G159" i="17"/>
  <c r="E43" i="13"/>
  <c r="E100" i="13" s="1"/>
  <c r="F54" i="12"/>
  <c r="E37" i="18"/>
  <c r="E65" i="18" s="1"/>
  <c r="F98" i="12"/>
  <c r="D132" i="13"/>
  <c r="F190" i="13" s="1"/>
  <c r="F245" i="13"/>
  <c r="G209" i="17"/>
  <c r="G142" i="17"/>
  <c r="F217" i="17"/>
  <c r="F150" i="17"/>
  <c r="E14" i="13"/>
  <c r="E71" i="13" s="1"/>
  <c r="F45" i="11"/>
  <c r="E26" i="13"/>
  <c r="E83" i="13" s="1"/>
  <c r="F57" i="11"/>
  <c r="F262" i="13"/>
  <c r="D149" i="13"/>
  <c r="F208" i="13" s="1"/>
  <c r="G200" i="17"/>
  <c r="G133" i="17"/>
  <c r="H224" i="17"/>
  <c r="H157" i="17"/>
  <c r="J218" i="17"/>
  <c r="J151" i="17"/>
  <c r="E79" i="14"/>
  <c r="E78" i="14"/>
  <c r="D120" i="13"/>
  <c r="F233" i="13"/>
  <c r="E25" i="13"/>
  <c r="E82" i="13" s="1"/>
  <c r="F56" i="11"/>
  <c r="G34" i="17"/>
  <c r="G87" i="17" s="1"/>
  <c r="G103" i="12"/>
  <c r="G57" i="17"/>
  <c r="G110" i="17" s="1"/>
  <c r="G126" i="12"/>
  <c r="G23" i="17"/>
  <c r="G76" i="17" s="1"/>
  <c r="G106" i="11"/>
  <c r="F42" i="17"/>
  <c r="F95" i="17" s="1"/>
  <c r="F111" i="12"/>
  <c r="E21" i="14"/>
  <c r="E45" i="14" s="1"/>
  <c r="F75" i="11"/>
  <c r="E118" i="17"/>
  <c r="F70" i="5" l="1"/>
  <c r="F71" i="5" s="1"/>
  <c r="F72" i="5" s="1"/>
  <c r="F73" i="5" s="1"/>
  <c r="F74" i="5" s="1"/>
  <c r="F75" i="5" s="1"/>
  <c r="F76" i="5" s="1"/>
  <c r="F77" i="5" s="1"/>
  <c r="F78" i="5" s="1"/>
  <c r="F79" i="5" s="1"/>
  <c r="F80" i="5" s="1"/>
  <c r="F81" i="5" s="1"/>
  <c r="F17" i="6"/>
  <c r="D148" i="14"/>
  <c r="B9" i="7" s="1"/>
  <c r="E160" i="14"/>
  <c r="D54" i="14"/>
  <c r="D59" i="14" s="1"/>
  <c r="F152" i="14"/>
  <c r="E285" i="13"/>
  <c r="G109" i="11"/>
  <c r="G27" i="17"/>
  <c r="G80" i="17" s="1"/>
  <c r="P58" i="4"/>
  <c r="Q55" i="4" s="1"/>
  <c r="Q56" i="4" s="1"/>
  <c r="Q58" i="4" s="1"/>
  <c r="R55" i="4" s="1"/>
  <c r="Q39" i="4"/>
  <c r="C61" i="14"/>
  <c r="E141" i="14" s="1"/>
  <c r="D157" i="14"/>
  <c r="E60" i="14"/>
  <c r="D159" i="14"/>
  <c r="E284" i="13"/>
  <c r="E41" i="14"/>
  <c r="G153" i="14"/>
  <c r="E49" i="14"/>
  <c r="E102" i="14" s="1"/>
  <c r="G154" i="14"/>
  <c r="D101" i="14"/>
  <c r="D74" i="14"/>
  <c r="F140" i="14" s="1"/>
  <c r="D73" i="14"/>
  <c r="C10" i="13"/>
  <c r="E283" i="13" s="1"/>
  <c r="F6" i="6"/>
  <c r="E259" i="17" s="1"/>
  <c r="D32" i="14"/>
  <c r="E34" i="6"/>
  <c r="F254" i="17"/>
  <c r="E191" i="17"/>
  <c r="C12" i="7" s="1"/>
  <c r="F15" i="6"/>
  <c r="E260" i="17" s="1"/>
  <c r="H36" i="7"/>
  <c r="I134" i="10" s="1"/>
  <c r="N65" i="4"/>
  <c r="N44" i="4"/>
  <c r="B8" i="7"/>
  <c r="E36" i="6"/>
  <c r="R38" i="4"/>
  <c r="R40" i="4" s="1"/>
  <c r="S37" i="4" s="1"/>
  <c r="F25" i="13"/>
  <c r="F82" i="13" s="1"/>
  <c r="G56" i="11"/>
  <c r="F14" i="13"/>
  <c r="F71" i="13" s="1"/>
  <c r="G45" i="11"/>
  <c r="E25" i="18"/>
  <c r="E56" i="18" s="1"/>
  <c r="F86" i="12"/>
  <c r="E92" i="13"/>
  <c r="E26" i="18"/>
  <c r="E57" i="18" s="1"/>
  <c r="F87" i="12"/>
  <c r="E44" i="13"/>
  <c r="E101" i="13" s="1"/>
  <c r="F55" i="12"/>
  <c r="F40" i="13"/>
  <c r="F97" i="13" s="1"/>
  <c r="G51" i="12"/>
  <c r="I197" i="17"/>
  <c r="I130" i="17"/>
  <c r="G239" i="13"/>
  <c r="E126" i="13"/>
  <c r="G184" i="13" s="1"/>
  <c r="H212" i="17"/>
  <c r="H145" i="17"/>
  <c r="H51" i="17"/>
  <c r="H104" i="17" s="1"/>
  <c r="I172" i="17" s="1"/>
  <c r="H120" i="12"/>
  <c r="I51" i="17" s="1"/>
  <c r="I104" i="17" s="1"/>
  <c r="F31" i="18"/>
  <c r="G92" i="12"/>
  <c r="G31" i="18" s="1"/>
  <c r="G264" i="13"/>
  <c r="E151" i="13"/>
  <c r="G210" i="13" s="1"/>
  <c r="H56" i="17"/>
  <c r="H109" i="17" s="1"/>
  <c r="H125" i="12"/>
  <c r="I56" i="17" s="1"/>
  <c r="I109" i="17" s="1"/>
  <c r="G245" i="13"/>
  <c r="E132" i="13"/>
  <c r="G190" i="13" s="1"/>
  <c r="E31" i="13"/>
  <c r="E88" i="13" s="1"/>
  <c r="F62" i="11"/>
  <c r="G258" i="13"/>
  <c r="E145" i="13"/>
  <c r="G204" i="13" s="1"/>
  <c r="H35" i="17"/>
  <c r="H88" i="17" s="1"/>
  <c r="H104" i="12"/>
  <c r="I35" i="17" s="1"/>
  <c r="I88" i="17" s="1"/>
  <c r="G277" i="13"/>
  <c r="E167" i="13"/>
  <c r="G226" i="13" s="1"/>
  <c r="H234" i="13"/>
  <c r="F121" i="13"/>
  <c r="H179" i="13" s="1"/>
  <c r="G243" i="13"/>
  <c r="E130" i="13"/>
  <c r="G188" i="13" s="1"/>
  <c r="C130" i="10"/>
  <c r="C37" i="10"/>
  <c r="C145" i="10"/>
  <c r="C160" i="10"/>
  <c r="C175" i="10"/>
  <c r="F147" i="13"/>
  <c r="H206" i="13" s="1"/>
  <c r="H260" i="13"/>
  <c r="H23" i="17"/>
  <c r="H76" i="17" s="1"/>
  <c r="H106" i="11"/>
  <c r="I23" i="17" s="1"/>
  <c r="I76" i="17" s="1"/>
  <c r="F18" i="13"/>
  <c r="F75" i="13" s="1"/>
  <c r="G49" i="11"/>
  <c r="F37" i="14"/>
  <c r="I224" i="17"/>
  <c r="I157" i="17"/>
  <c r="F17" i="14"/>
  <c r="G71" i="11"/>
  <c r="F39" i="13"/>
  <c r="F96" i="13" s="1"/>
  <c r="G50" i="12"/>
  <c r="F27" i="13"/>
  <c r="F84" i="13" s="1"/>
  <c r="G58" i="11"/>
  <c r="H229" i="17"/>
  <c r="H162" i="17"/>
  <c r="D140" i="13"/>
  <c r="F198" i="13" s="1"/>
  <c r="F253" i="13"/>
  <c r="G233" i="13"/>
  <c r="E120" i="13"/>
  <c r="F14" i="18"/>
  <c r="G75" i="12"/>
  <c r="F247" i="17"/>
  <c r="F184" i="17"/>
  <c r="O50" i="4"/>
  <c r="O52" i="4" s="1"/>
  <c r="D165" i="18"/>
  <c r="D166" i="18"/>
  <c r="G14" i="14"/>
  <c r="G38" i="14" s="1"/>
  <c r="H68" i="11"/>
  <c r="H14" i="14" s="1"/>
  <c r="H38" i="14" s="1"/>
  <c r="H52" i="17"/>
  <c r="H105" i="17" s="1"/>
  <c r="I173" i="17" s="1"/>
  <c r="H121" i="12"/>
  <c r="I52" i="17" s="1"/>
  <c r="I105" i="17" s="1"/>
  <c r="J173" i="17" s="1"/>
  <c r="G44" i="17"/>
  <c r="G97" i="17" s="1"/>
  <c r="G113" i="12"/>
  <c r="G235" i="13"/>
  <c r="E122" i="13"/>
  <c r="G180" i="13" s="1"/>
  <c r="C13" i="7"/>
  <c r="F39" i="6"/>
  <c r="F267" i="13"/>
  <c r="D154" i="13"/>
  <c r="F213" i="13" s="1"/>
  <c r="H42" i="11"/>
  <c r="H11" i="13" s="1"/>
  <c r="G11" i="13"/>
  <c r="F36" i="18"/>
  <c r="F64" i="18" s="1"/>
  <c r="G97" i="12"/>
  <c r="C129" i="10"/>
  <c r="C36" i="10"/>
  <c r="C144" i="10"/>
  <c r="C159" i="10"/>
  <c r="C174" i="10"/>
  <c r="H223" i="17"/>
  <c r="H156" i="17"/>
  <c r="H50" i="17"/>
  <c r="H103" i="17" s="1"/>
  <c r="H119" i="12"/>
  <c r="I50" i="17" s="1"/>
  <c r="I103" i="17" s="1"/>
  <c r="E29" i="18"/>
  <c r="E60" i="18" s="1"/>
  <c r="F90" i="12"/>
  <c r="H40" i="17"/>
  <c r="H93" i="17" s="1"/>
  <c r="H109" i="12"/>
  <c r="I40" i="17" s="1"/>
  <c r="I93" i="17" s="1"/>
  <c r="F272" i="13"/>
  <c r="D159" i="13"/>
  <c r="F218" i="13" s="1"/>
  <c r="F56" i="13"/>
  <c r="F113" i="13" s="1"/>
  <c r="G67" i="12"/>
  <c r="J202" i="17"/>
  <c r="J135" i="17"/>
  <c r="F30" i="18"/>
  <c r="F61" i="18" s="1"/>
  <c r="G91" i="12"/>
  <c r="G46" i="17"/>
  <c r="G99" i="17" s="1"/>
  <c r="G115" i="12"/>
  <c r="F35" i="18"/>
  <c r="F63" i="18" s="1"/>
  <c r="G96" i="12"/>
  <c r="F30" i="13"/>
  <c r="F87" i="13" s="1"/>
  <c r="G61" i="11"/>
  <c r="G47" i="17"/>
  <c r="G100" i="17" s="1"/>
  <c r="G116" i="12"/>
  <c r="G155" i="14"/>
  <c r="E71" i="14"/>
  <c r="E70" i="14"/>
  <c r="G142" i="14" s="1"/>
  <c r="F24" i="13"/>
  <c r="F81" i="13" s="1"/>
  <c r="G55" i="11"/>
  <c r="F15" i="18"/>
  <c r="F46" i="18" s="1"/>
  <c r="G76" i="12"/>
  <c r="G10" i="5"/>
  <c r="C11" i="5" s="1"/>
  <c r="G237" i="13"/>
  <c r="E124" i="13"/>
  <c r="G182" i="13" s="1"/>
  <c r="H242" i="17"/>
  <c r="H178" i="17"/>
  <c r="F37" i="18"/>
  <c r="F65" i="18" s="1"/>
  <c r="G98" i="12"/>
  <c r="F32" i="18"/>
  <c r="G93" i="12"/>
  <c r="G32" i="18" s="1"/>
  <c r="H240" i="17"/>
  <c r="H176" i="17"/>
  <c r="G13" i="14"/>
  <c r="H67" i="11"/>
  <c r="H13" i="14" s="1"/>
  <c r="E27" i="18"/>
  <c r="E58" i="18" s="1"/>
  <c r="F88" i="12"/>
  <c r="F78" i="14"/>
  <c r="F79" i="14"/>
  <c r="H213" i="17"/>
  <c r="H146" i="17"/>
  <c r="D137" i="13"/>
  <c r="F195" i="13" s="1"/>
  <c r="F250" i="13"/>
  <c r="H206" i="17"/>
  <c r="H139" i="17"/>
  <c r="F26" i="14"/>
  <c r="F50" i="14" s="1"/>
  <c r="G80" i="11"/>
  <c r="D138" i="13"/>
  <c r="F196" i="13" s="1"/>
  <c r="F251" i="13"/>
  <c r="G274" i="13"/>
  <c r="E161" i="13"/>
  <c r="G220" i="13" s="1"/>
  <c r="F13" i="13"/>
  <c r="F70" i="13" s="1"/>
  <c r="G44" i="11"/>
  <c r="E45" i="13"/>
  <c r="E102" i="13" s="1"/>
  <c r="F56" i="12"/>
  <c r="H203" i="17"/>
  <c r="H136" i="17"/>
  <c r="G241" i="13"/>
  <c r="E128" i="13"/>
  <c r="G186" i="13" s="1"/>
  <c r="H208" i="17"/>
  <c r="H141" i="17"/>
  <c r="F16" i="14"/>
  <c r="F40" i="14" s="1"/>
  <c r="G70" i="11"/>
  <c r="G276" i="13"/>
  <c r="E166" i="13"/>
  <c r="G225" i="13" s="1"/>
  <c r="F15" i="13"/>
  <c r="F72" i="13" s="1"/>
  <c r="G46" i="11"/>
  <c r="F21" i="14"/>
  <c r="F45" i="14" s="1"/>
  <c r="G75" i="11"/>
  <c r="G247" i="13"/>
  <c r="E134" i="13"/>
  <c r="G192" i="13" s="1"/>
  <c r="G236" i="13"/>
  <c r="E123" i="13"/>
  <c r="G181" i="13" s="1"/>
  <c r="G49" i="17"/>
  <c r="G102" i="17" s="1"/>
  <c r="G118" i="12"/>
  <c r="H241" i="17"/>
  <c r="H177" i="17"/>
  <c r="E48" i="13"/>
  <c r="E105" i="13" s="1"/>
  <c r="F59" i="12"/>
  <c r="E49" i="13"/>
  <c r="E106" i="13" s="1"/>
  <c r="F60" i="12"/>
  <c r="C12" i="14"/>
  <c r="C35" i="14"/>
  <c r="G262" i="13"/>
  <c r="E149" i="13"/>
  <c r="G208" i="13" s="1"/>
  <c r="H38" i="17"/>
  <c r="H91" i="17" s="1"/>
  <c r="H107" i="12"/>
  <c r="I38" i="17" s="1"/>
  <c r="I91" i="17" s="1"/>
  <c r="F23" i="14"/>
  <c r="F47" i="14" s="1"/>
  <c r="G77" i="11"/>
  <c r="F26" i="13"/>
  <c r="F83" i="13" s="1"/>
  <c r="G57" i="11"/>
  <c r="F43" i="13"/>
  <c r="F100" i="13" s="1"/>
  <c r="G54" i="12"/>
  <c r="H22" i="17"/>
  <c r="H75" i="17" s="1"/>
  <c r="H105" i="11"/>
  <c r="I22" i="17" s="1"/>
  <c r="I75" i="17" s="1"/>
  <c r="G240" i="13"/>
  <c r="E127" i="13"/>
  <c r="G185" i="13" s="1"/>
  <c r="G237" i="17"/>
  <c r="G170" i="17"/>
  <c r="J131" i="17"/>
  <c r="J198" i="17"/>
  <c r="H39" i="17"/>
  <c r="H92" i="17" s="1"/>
  <c r="H108" i="12"/>
  <c r="I39" i="17" s="1"/>
  <c r="I92" i="17" s="1"/>
  <c r="F246" i="17"/>
  <c r="F183" i="17"/>
  <c r="G28" i="17"/>
  <c r="G81" i="17" s="1"/>
  <c r="G111" i="11"/>
  <c r="E46" i="13"/>
  <c r="E103" i="13" s="1"/>
  <c r="F57" i="12"/>
  <c r="F20" i="13"/>
  <c r="F77" i="13" s="1"/>
  <c r="G51" i="11"/>
  <c r="D39" i="18"/>
  <c r="F22" i="14"/>
  <c r="F46" i="14" s="1"/>
  <c r="G76" i="11"/>
  <c r="E229" i="13"/>
  <c r="F270" i="13"/>
  <c r="D157" i="13"/>
  <c r="F216" i="13" s="1"/>
  <c r="F271" i="13"/>
  <c r="D158" i="13"/>
  <c r="F217" i="13" s="1"/>
  <c r="D33" i="13"/>
  <c r="F27" i="14"/>
  <c r="F51" i="14" s="1"/>
  <c r="G81" i="11"/>
  <c r="H12" i="17"/>
  <c r="H65" i="17" s="1"/>
  <c r="H95" i="11"/>
  <c r="I12" i="17" s="1"/>
  <c r="I65" i="17" s="1"/>
  <c r="H209" i="17"/>
  <c r="H142" i="17"/>
  <c r="H226" i="17"/>
  <c r="H159" i="17"/>
  <c r="G70" i="12"/>
  <c r="F59" i="13"/>
  <c r="F116" i="13" s="1"/>
  <c r="F273" i="13"/>
  <c r="D160" i="13"/>
  <c r="F219" i="13" s="1"/>
  <c r="H199" i="17"/>
  <c r="H132" i="17"/>
  <c r="E95" i="14"/>
  <c r="E96" i="14"/>
  <c r="F269" i="13"/>
  <c r="D156" i="13"/>
  <c r="F215" i="13" s="1"/>
  <c r="G261" i="13"/>
  <c r="E148" i="13"/>
  <c r="G207" i="13" s="1"/>
  <c r="F144" i="14"/>
  <c r="G249" i="13"/>
  <c r="E136" i="13"/>
  <c r="G194" i="13" s="1"/>
  <c r="H33" i="17"/>
  <c r="H86" i="17" s="1"/>
  <c r="H102" i="12"/>
  <c r="I33" i="17" s="1"/>
  <c r="I86" i="17" s="1"/>
  <c r="E24" i="18"/>
  <c r="E55" i="18" s="1"/>
  <c r="F85" i="12"/>
  <c r="G110" i="11"/>
  <c r="H53" i="17"/>
  <c r="H106" i="17" s="1"/>
  <c r="I174" i="17" s="1"/>
  <c r="H122" i="12"/>
  <c r="I53" i="17" s="1"/>
  <c r="I106" i="17" s="1"/>
  <c r="J174" i="17" s="1"/>
  <c r="E45" i="18"/>
  <c r="H16" i="17"/>
  <c r="H69" i="17" s="1"/>
  <c r="H99" i="11"/>
  <c r="I16" i="17" s="1"/>
  <c r="I69" i="17" s="1"/>
  <c r="F63" i="14"/>
  <c r="F64" i="14"/>
  <c r="G232" i="17"/>
  <c r="G165" i="17"/>
  <c r="F22" i="13"/>
  <c r="F79" i="13" s="1"/>
  <c r="G53" i="11"/>
  <c r="E30" i="14"/>
  <c r="F84" i="11"/>
  <c r="G48" i="17"/>
  <c r="G101" i="17" s="1"/>
  <c r="G117" i="12"/>
  <c r="I158" i="10"/>
  <c r="I173" i="10"/>
  <c r="I143" i="10"/>
  <c r="I128" i="10"/>
  <c r="I35" i="10"/>
  <c r="F21" i="18"/>
  <c r="F52" i="18" s="1"/>
  <c r="G82" i="12"/>
  <c r="E22" i="18"/>
  <c r="E53" i="18" s="1"/>
  <c r="F83" i="12"/>
  <c r="F41" i="13"/>
  <c r="F98" i="13" s="1"/>
  <c r="G52" i="12"/>
  <c r="H19" i="17"/>
  <c r="H72" i="17" s="1"/>
  <c r="H102" i="11"/>
  <c r="I19" i="17" s="1"/>
  <c r="I72" i="17" s="1"/>
  <c r="G16" i="13"/>
  <c r="G73" i="13" s="1"/>
  <c r="H47" i="11"/>
  <c r="H16" i="13" s="1"/>
  <c r="H73" i="13" s="1"/>
  <c r="F68" i="13"/>
  <c r="H54" i="17"/>
  <c r="H107" i="17" s="1"/>
  <c r="H123" i="12"/>
  <c r="I54" i="17" s="1"/>
  <c r="I107" i="17" s="1"/>
  <c r="C42" i="18"/>
  <c r="C12" i="18"/>
  <c r="H238" i="17"/>
  <c r="H171" i="17"/>
  <c r="H228" i="17"/>
  <c r="H161" i="17"/>
  <c r="E50" i="13"/>
  <c r="E107" i="13" s="1"/>
  <c r="F61" i="12"/>
  <c r="G275" i="13"/>
  <c r="E165" i="13"/>
  <c r="G224" i="13" s="1"/>
  <c r="I202" i="17"/>
  <c r="I135" i="17"/>
  <c r="G234" i="17"/>
  <c r="G167" i="17"/>
  <c r="G252" i="13"/>
  <c r="E139" i="13"/>
  <c r="G197" i="13" s="1"/>
  <c r="G235" i="17"/>
  <c r="G168" i="17"/>
  <c r="H37" i="17"/>
  <c r="H90" i="17" s="1"/>
  <c r="H106" i="12"/>
  <c r="I37" i="17" s="1"/>
  <c r="I90" i="17" s="1"/>
  <c r="F67" i="4"/>
  <c r="G51" i="4"/>
  <c r="G246" i="13"/>
  <c r="E133" i="13"/>
  <c r="G191" i="13" s="1"/>
  <c r="D61" i="13"/>
  <c r="F17" i="18"/>
  <c r="F48" i="18" s="1"/>
  <c r="G78" i="12"/>
  <c r="F34" i="18"/>
  <c r="F62" i="18" s="1"/>
  <c r="G95" i="12"/>
  <c r="D274" i="17"/>
  <c r="D276" i="17" s="1"/>
  <c r="B22" i="7"/>
  <c r="E47" i="6"/>
  <c r="G230" i="17"/>
  <c r="G163" i="17"/>
  <c r="F118" i="17"/>
  <c r="F37" i="13"/>
  <c r="F94" i="13" s="1"/>
  <c r="G48" i="12"/>
  <c r="J157" i="17"/>
  <c r="J224" i="17"/>
  <c r="G150" i="17"/>
  <c r="G217" i="17"/>
  <c r="F119" i="17"/>
  <c r="G231" i="17"/>
  <c r="G164" i="17"/>
  <c r="H41" i="17"/>
  <c r="H94" i="17" s="1"/>
  <c r="H110" i="12"/>
  <c r="I41" i="17" s="1"/>
  <c r="I94" i="17" s="1"/>
  <c r="F28" i="14"/>
  <c r="F52" i="14" s="1"/>
  <c r="G82" i="11"/>
  <c r="E31" i="14"/>
  <c r="E55" i="14" s="1"/>
  <c r="F85" i="11"/>
  <c r="H201" i="17"/>
  <c r="H134" i="17"/>
  <c r="G233" i="17"/>
  <c r="G166" i="17"/>
  <c r="H34" i="17"/>
  <c r="H87" i="17" s="1"/>
  <c r="H103" i="12"/>
  <c r="I34" i="17" s="1"/>
  <c r="I87" i="17" s="1"/>
  <c r="F115" i="17"/>
  <c r="F266" i="13"/>
  <c r="D153" i="13"/>
  <c r="F212" i="13" s="1"/>
  <c r="G259" i="13"/>
  <c r="E146" i="13"/>
  <c r="G205" i="13" s="1"/>
  <c r="F33" i="18"/>
  <c r="G94" i="12"/>
  <c r="G33" i="18" s="1"/>
  <c r="H21" i="17"/>
  <c r="H74" i="17" s="1"/>
  <c r="H104" i="11"/>
  <c r="I21" i="17" s="1"/>
  <c r="I74" i="17" s="1"/>
  <c r="F116" i="17"/>
  <c r="H11" i="17"/>
  <c r="H64" i="17" s="1"/>
  <c r="H94" i="11"/>
  <c r="I11" i="17" s="1"/>
  <c r="I64" i="17" s="1"/>
  <c r="E47" i="13"/>
  <c r="E104" i="13" s="1"/>
  <c r="F58" i="12"/>
  <c r="F250" i="17"/>
  <c r="F187" i="17"/>
  <c r="H211" i="17"/>
  <c r="H144" i="17"/>
  <c r="H222" i="17"/>
  <c r="H155" i="17"/>
  <c r="G42" i="17"/>
  <c r="G95" i="17" s="1"/>
  <c r="G111" i="12"/>
  <c r="H57" i="17"/>
  <c r="H110" i="17" s="1"/>
  <c r="H126" i="12"/>
  <c r="I57" i="17" s="1"/>
  <c r="I110" i="17" s="1"/>
  <c r="F178" i="13"/>
  <c r="G248" i="13"/>
  <c r="E135" i="13"/>
  <c r="G193" i="13" s="1"/>
  <c r="G265" i="13"/>
  <c r="E152" i="13"/>
  <c r="G211" i="13" s="1"/>
  <c r="H210" i="17"/>
  <c r="H143" i="17"/>
  <c r="F35" i="13"/>
  <c r="G46" i="12"/>
  <c r="F42" i="13"/>
  <c r="F99" i="13" s="1"/>
  <c r="G53" i="12"/>
  <c r="I198" i="17"/>
  <c r="I131" i="17"/>
  <c r="H227" i="17"/>
  <c r="H160" i="17"/>
  <c r="H55" i="17"/>
  <c r="H108" i="17" s="1"/>
  <c r="H124" i="12"/>
  <c r="I55" i="17" s="1"/>
  <c r="I108" i="17" s="1"/>
  <c r="G149" i="17"/>
  <c r="G216" i="17"/>
  <c r="F268" i="13"/>
  <c r="D155" i="13"/>
  <c r="F214" i="13" s="1"/>
  <c r="G242" i="13"/>
  <c r="E129" i="13"/>
  <c r="G187" i="13" s="1"/>
  <c r="F245" i="17"/>
  <c r="F182" i="17"/>
  <c r="F15" i="14"/>
  <c r="F39" i="14" s="1"/>
  <c r="G69" i="11"/>
  <c r="G18" i="14"/>
  <c r="G42" i="14" s="1"/>
  <c r="H72" i="11"/>
  <c r="H18" i="14" s="1"/>
  <c r="H42" i="14" s="1"/>
  <c r="G16" i="18"/>
  <c r="G47" i="18" s="1"/>
  <c r="H77" i="12"/>
  <c r="H16" i="18" s="1"/>
  <c r="H47" i="18" s="1"/>
  <c r="H200" i="17"/>
  <c r="H133" i="17"/>
  <c r="G29" i="17"/>
  <c r="G82" i="17" s="1"/>
  <c r="G112" i="11"/>
  <c r="F23" i="13"/>
  <c r="F80" i="13" s="1"/>
  <c r="G54" i="11"/>
  <c r="H25" i="17"/>
  <c r="H78" i="17" s="1"/>
  <c r="H108" i="11"/>
  <c r="I25" i="17" s="1"/>
  <c r="I78" i="17" s="1"/>
  <c r="E23" i="18"/>
  <c r="E54" i="18" s="1"/>
  <c r="F84" i="12"/>
  <c r="E28" i="13"/>
  <c r="E85" i="13" s="1"/>
  <c r="F59" i="11"/>
  <c r="G278" i="13"/>
  <c r="E168" i="13"/>
  <c r="G227" i="13" s="1"/>
  <c r="E51" i="13"/>
  <c r="E108" i="13" s="1"/>
  <c r="F62" i="12"/>
  <c r="F20" i="14"/>
  <c r="F44" i="14" s="1"/>
  <c r="G74" i="11"/>
  <c r="G43" i="17"/>
  <c r="G96" i="17" s="1"/>
  <c r="G112" i="12"/>
  <c r="J197" i="17"/>
  <c r="J130" i="17"/>
  <c r="F25" i="14"/>
  <c r="G79" i="11"/>
  <c r="H18" i="17"/>
  <c r="H71" i="17" s="1"/>
  <c r="H101" i="11"/>
  <c r="I18" i="17" s="1"/>
  <c r="I71" i="17" s="1"/>
  <c r="H221" i="17"/>
  <c r="H154" i="17"/>
  <c r="G148" i="17"/>
  <c r="G215" i="17"/>
  <c r="E29" i="13"/>
  <c r="E86" i="13" s="1"/>
  <c r="F60" i="11"/>
  <c r="D283" i="13"/>
  <c r="F36" i="13"/>
  <c r="F93" i="13" s="1"/>
  <c r="G47" i="12"/>
  <c r="F17" i="13"/>
  <c r="F74" i="13" s="1"/>
  <c r="G48" i="11"/>
  <c r="F18" i="18"/>
  <c r="F49" i="18" s="1"/>
  <c r="G79" i="12"/>
  <c r="H204" i="17"/>
  <c r="H137" i="17"/>
  <c r="E28" i="18"/>
  <c r="E59" i="18" s="1"/>
  <c r="F89" i="12"/>
  <c r="H24" i="17"/>
  <c r="H77" i="17" s="1"/>
  <c r="H107" i="11"/>
  <c r="I24" i="17" s="1"/>
  <c r="I77" i="17" s="1"/>
  <c r="G244" i="13"/>
  <c r="E131" i="13"/>
  <c r="G189" i="13" s="1"/>
  <c r="P64" i="4"/>
  <c r="Q61" i="4" s="1"/>
  <c r="G236" i="17"/>
  <c r="G169" i="17"/>
  <c r="F114" i="17"/>
  <c r="F52" i="13"/>
  <c r="F109" i="13" s="1"/>
  <c r="G63" i="12"/>
  <c r="F19" i="14"/>
  <c r="F43" i="14" s="1"/>
  <c r="G73" i="11"/>
  <c r="F154" i="18"/>
  <c r="F159" i="18" s="1"/>
  <c r="F168" i="18"/>
  <c r="F169" i="18"/>
  <c r="G263" i="13"/>
  <c r="E150" i="13"/>
  <c r="G209" i="13" s="1"/>
  <c r="H207" i="17"/>
  <c r="H140" i="17"/>
  <c r="H238" i="13"/>
  <c r="F125" i="13"/>
  <c r="H183" i="13" s="1"/>
  <c r="H13" i="17"/>
  <c r="H66" i="17" s="1"/>
  <c r="H96" i="11"/>
  <c r="I13" i="17" s="1"/>
  <c r="I66" i="17" s="1"/>
  <c r="F29" i="14"/>
  <c r="F53" i="14" s="1"/>
  <c r="G83" i="11"/>
  <c r="F24" i="14"/>
  <c r="F48" i="14" s="1"/>
  <c r="G78" i="11"/>
  <c r="H239" i="17"/>
  <c r="H175" i="17"/>
  <c r="F58" i="13"/>
  <c r="F115" i="13" s="1"/>
  <c r="G69" i="12"/>
  <c r="H15" i="17"/>
  <c r="H68" i="17" s="1"/>
  <c r="H98" i="11"/>
  <c r="I15" i="17" s="1"/>
  <c r="I68" i="17" s="1"/>
  <c r="F251" i="17"/>
  <c r="F188" i="17"/>
  <c r="G45" i="17"/>
  <c r="G98" i="17" s="1"/>
  <c r="G114" i="12"/>
  <c r="F19" i="13"/>
  <c r="F76" i="13" s="1"/>
  <c r="G50" i="11"/>
  <c r="H43" i="11"/>
  <c r="H12" i="13" s="1"/>
  <c r="H69" i="13" s="1"/>
  <c r="G12" i="13"/>
  <c r="G69" i="13" s="1"/>
  <c r="F20" i="18"/>
  <c r="F51" i="18" s="1"/>
  <c r="G81" i="12"/>
  <c r="F21" i="13"/>
  <c r="F78" i="13" s="1"/>
  <c r="G52" i="11"/>
  <c r="H20" i="17"/>
  <c r="H73" i="17" s="1"/>
  <c r="H103" i="11"/>
  <c r="I20" i="17" s="1"/>
  <c r="I73" i="17" s="1"/>
  <c r="H49" i="12"/>
  <c r="H38" i="13" s="1"/>
  <c r="H95" i="13" s="1"/>
  <c r="G38" i="13"/>
  <c r="G95" i="13" s="1"/>
  <c r="E65" i="4"/>
  <c r="D13" i="8" s="1"/>
  <c r="D15" i="8" s="1"/>
  <c r="E52" i="4"/>
  <c r="H225" i="17"/>
  <c r="H158" i="17"/>
  <c r="G68" i="12"/>
  <c r="F57" i="13"/>
  <c r="F114" i="13" s="1"/>
  <c r="F19" i="18"/>
  <c r="F50" i="18" s="1"/>
  <c r="G80" i="12"/>
  <c r="F257" i="13"/>
  <c r="D144" i="13"/>
  <c r="F203" i="13" s="1"/>
  <c r="G167" i="18"/>
  <c r="E125" i="18"/>
  <c r="E142" i="18" s="1"/>
  <c r="G155" i="18" s="1"/>
  <c r="G163" i="18"/>
  <c r="E124" i="18"/>
  <c r="E141" i="18" s="1"/>
  <c r="G164" i="18"/>
  <c r="E126" i="18"/>
  <c r="E143" i="18" s="1"/>
  <c r="G156" i="18" s="1"/>
  <c r="F253" i="17"/>
  <c r="F82" i="5" l="1"/>
  <c r="F83" i="5" s="1"/>
  <c r="F84" i="5" s="1"/>
  <c r="F85" i="5" s="1"/>
  <c r="F86" i="5" s="1"/>
  <c r="F87" i="5" s="1"/>
  <c r="F88" i="5" s="1"/>
  <c r="F89" i="5" s="1"/>
  <c r="F90" i="5" s="1"/>
  <c r="F91" i="5" s="1"/>
  <c r="F92" i="5" s="1"/>
  <c r="F93" i="5" s="1"/>
  <c r="E37" i="6"/>
  <c r="E41" i="6" s="1"/>
  <c r="H109" i="11"/>
  <c r="I27" i="17" s="1"/>
  <c r="H27" i="17"/>
  <c r="E54" i="14"/>
  <c r="E59" i="14" s="1"/>
  <c r="G152" i="14"/>
  <c r="J172" i="17"/>
  <c r="F160" i="14"/>
  <c r="D175" i="18"/>
  <c r="D177" i="18" s="1"/>
  <c r="Q57" i="4"/>
  <c r="D61" i="14"/>
  <c r="F141" i="14" s="1"/>
  <c r="F60" i="14"/>
  <c r="E282" i="13"/>
  <c r="F16" i="6" s="1"/>
  <c r="E290" i="13" s="1"/>
  <c r="F41" i="14"/>
  <c r="H153" i="14"/>
  <c r="E74" i="14"/>
  <c r="G140" i="14" s="1"/>
  <c r="E73" i="14"/>
  <c r="E101" i="14"/>
  <c r="F49" i="14"/>
  <c r="F102" i="14" s="1"/>
  <c r="H154" i="14"/>
  <c r="D12" i="14"/>
  <c r="F158" i="14" s="1"/>
  <c r="F156" i="14"/>
  <c r="G17" i="6" s="1"/>
  <c r="D35" i="14"/>
  <c r="F159" i="14" s="1"/>
  <c r="G119" i="17"/>
  <c r="H188" i="17" s="1"/>
  <c r="G144" i="14"/>
  <c r="F191" i="17"/>
  <c r="D12" i="7" s="1"/>
  <c r="G6" i="6"/>
  <c r="F259" i="17" s="1"/>
  <c r="G15" i="6"/>
  <c r="F260" i="17" s="1"/>
  <c r="F34" i="6"/>
  <c r="E262" i="17"/>
  <c r="E274" i="17" s="1"/>
  <c r="E276" i="17" s="1"/>
  <c r="E16" i="6"/>
  <c r="F7" i="6" s="1"/>
  <c r="I45" i="10"/>
  <c r="I164" i="10"/>
  <c r="I179" i="10"/>
  <c r="I149" i="10"/>
  <c r="I23" i="9"/>
  <c r="N46" i="4"/>
  <c r="N45" i="4"/>
  <c r="N66" i="4"/>
  <c r="C97" i="4" s="1"/>
  <c r="S38" i="4"/>
  <c r="S40" i="4" s="1"/>
  <c r="H243" i="13"/>
  <c r="F130" i="13"/>
  <c r="H188" i="13" s="1"/>
  <c r="G251" i="13"/>
  <c r="E138" i="13"/>
  <c r="G196" i="13" s="1"/>
  <c r="F28" i="13"/>
  <c r="F85" i="13" s="1"/>
  <c r="G59" i="11"/>
  <c r="H29" i="17"/>
  <c r="H82" i="17" s="1"/>
  <c r="H112" i="11"/>
  <c r="I29" i="17" s="1"/>
  <c r="I82" i="17" s="1"/>
  <c r="I240" i="17"/>
  <c r="I176" i="17"/>
  <c r="I199" i="17"/>
  <c r="I132" i="17"/>
  <c r="G57" i="13"/>
  <c r="G114" i="13" s="1"/>
  <c r="H68" i="12"/>
  <c r="H57" i="13" s="1"/>
  <c r="H114" i="13" s="1"/>
  <c r="I208" i="17"/>
  <c r="I141" i="17"/>
  <c r="H241" i="13"/>
  <c r="F128" i="13"/>
  <c r="H186" i="13" s="1"/>
  <c r="I203" i="17"/>
  <c r="I136" i="17"/>
  <c r="G29" i="14"/>
  <c r="G53" i="14" s="1"/>
  <c r="H83" i="11"/>
  <c r="H29" i="14" s="1"/>
  <c r="H53" i="14" s="1"/>
  <c r="F161" i="13"/>
  <c r="H220" i="13" s="1"/>
  <c r="H274" i="13"/>
  <c r="I212" i="17"/>
  <c r="I145" i="17"/>
  <c r="I206" i="17"/>
  <c r="I139" i="17"/>
  <c r="G20" i="14"/>
  <c r="G44" i="14" s="1"/>
  <c r="H74" i="11"/>
  <c r="H20" i="14" s="1"/>
  <c r="H44" i="14" s="1"/>
  <c r="F23" i="18"/>
  <c r="F54" i="18" s="1"/>
  <c r="G84" i="12"/>
  <c r="H54" i="11"/>
  <c r="H23" i="13" s="1"/>
  <c r="H80" i="13" s="1"/>
  <c r="G23" i="13"/>
  <c r="G80" i="13" s="1"/>
  <c r="H78" i="14"/>
  <c r="H79" i="14"/>
  <c r="G15" i="14"/>
  <c r="G39" i="14" s="1"/>
  <c r="H69" i="11"/>
  <c r="H15" i="14" s="1"/>
  <c r="H39" i="14" s="1"/>
  <c r="G115" i="17"/>
  <c r="F92" i="13"/>
  <c r="F285" i="13"/>
  <c r="H230" i="17"/>
  <c r="H163" i="17"/>
  <c r="G269" i="13"/>
  <c r="E156" i="13"/>
  <c r="G215" i="13" s="1"/>
  <c r="J209" i="17"/>
  <c r="J142" i="17"/>
  <c r="G118" i="17"/>
  <c r="F31" i="14"/>
  <c r="F55" i="14" s="1"/>
  <c r="G85" i="11"/>
  <c r="J162" i="17"/>
  <c r="J229" i="17"/>
  <c r="G251" i="17"/>
  <c r="G188" i="17"/>
  <c r="G17" i="18"/>
  <c r="G48" i="18" s="1"/>
  <c r="H78" i="12"/>
  <c r="H17" i="18" s="1"/>
  <c r="H48" i="18" s="1"/>
  <c r="I225" i="17"/>
  <c r="I158" i="17"/>
  <c r="I207" i="17"/>
  <c r="I140" i="17"/>
  <c r="H48" i="17"/>
  <c r="H101" i="17" s="1"/>
  <c r="H117" i="12"/>
  <c r="I48" i="17" s="1"/>
  <c r="I101" i="17" s="1"/>
  <c r="G22" i="13"/>
  <c r="G79" i="13" s="1"/>
  <c r="H53" i="11"/>
  <c r="H22" i="13" s="1"/>
  <c r="H79" i="13" s="1"/>
  <c r="I204" i="17"/>
  <c r="I137" i="17"/>
  <c r="F24" i="18"/>
  <c r="F55" i="18" s="1"/>
  <c r="G85" i="12"/>
  <c r="J133" i="17"/>
  <c r="J200" i="17"/>
  <c r="D10" i="13"/>
  <c r="D65" i="13"/>
  <c r="F200" i="13" s="1"/>
  <c r="F229" i="13" s="1"/>
  <c r="D42" i="18"/>
  <c r="D12" i="18"/>
  <c r="G268" i="13"/>
  <c r="E155" i="13"/>
  <c r="G214" i="13" s="1"/>
  <c r="F152" i="13"/>
  <c r="H211" i="13" s="1"/>
  <c r="H265" i="13"/>
  <c r="G23" i="14"/>
  <c r="G47" i="14" s="1"/>
  <c r="H77" i="11"/>
  <c r="H23" i="14" s="1"/>
  <c r="H47" i="14" s="1"/>
  <c r="G270" i="13"/>
  <c r="E157" i="13"/>
  <c r="G216" i="13" s="1"/>
  <c r="H49" i="17"/>
  <c r="H102" i="17" s="1"/>
  <c r="H118" i="12"/>
  <c r="I49" i="17" s="1"/>
  <c r="I102" i="17" s="1"/>
  <c r="H235" i="13"/>
  <c r="F122" i="13"/>
  <c r="H180" i="13" s="1"/>
  <c r="F27" i="18"/>
  <c r="F58" i="18" s="1"/>
  <c r="G88" i="12"/>
  <c r="G37" i="18"/>
  <c r="G65" i="18" s="1"/>
  <c r="H98" i="12"/>
  <c r="H37" i="18" s="1"/>
  <c r="H65" i="18" s="1"/>
  <c r="G15" i="18"/>
  <c r="G46" i="18" s="1"/>
  <c r="H76" i="12"/>
  <c r="H15" i="18" s="1"/>
  <c r="H46" i="18" s="1"/>
  <c r="H235" i="17"/>
  <c r="H168" i="17"/>
  <c r="F165" i="13"/>
  <c r="H224" i="13" s="1"/>
  <c r="H275" i="13"/>
  <c r="I228" i="17"/>
  <c r="I161" i="17"/>
  <c r="I238" i="17"/>
  <c r="I171" i="17"/>
  <c r="G36" i="18"/>
  <c r="G64" i="18" s="1"/>
  <c r="H97" i="12"/>
  <c r="H36" i="18" s="1"/>
  <c r="H64" i="18" s="1"/>
  <c r="H44" i="17"/>
  <c r="H97" i="17" s="1"/>
  <c r="H113" i="12"/>
  <c r="I44" i="17" s="1"/>
  <c r="I97" i="17" s="1"/>
  <c r="H63" i="14"/>
  <c r="H64" i="14"/>
  <c r="F148" i="13"/>
  <c r="H207" i="13" s="1"/>
  <c r="H261" i="13"/>
  <c r="H240" i="13"/>
  <c r="F127" i="13"/>
  <c r="H185" i="13" s="1"/>
  <c r="G266" i="13"/>
  <c r="E153" i="13"/>
  <c r="G212" i="13" s="1"/>
  <c r="E61" i="13"/>
  <c r="H236" i="13"/>
  <c r="F123" i="13"/>
  <c r="H181" i="13" s="1"/>
  <c r="J201" i="17"/>
  <c r="J134" i="17"/>
  <c r="H43" i="17"/>
  <c r="H96" i="17" s="1"/>
  <c r="H112" i="12"/>
  <c r="I43" i="17" s="1"/>
  <c r="I96" i="17" s="1"/>
  <c r="H233" i="17"/>
  <c r="H166" i="17"/>
  <c r="D13" i="7"/>
  <c r="G39" i="6"/>
  <c r="Q62" i="4"/>
  <c r="Q63" i="4" s="1"/>
  <c r="H239" i="13"/>
  <c r="F126" i="13"/>
  <c r="H184" i="13" s="1"/>
  <c r="G154" i="18"/>
  <c r="G159" i="18" s="1"/>
  <c r="G169" i="18"/>
  <c r="G168" i="18"/>
  <c r="G19" i="18"/>
  <c r="G50" i="18" s="1"/>
  <c r="H80" i="12"/>
  <c r="H19" i="18" s="1"/>
  <c r="H50" i="18" s="1"/>
  <c r="G147" i="13"/>
  <c r="I206" i="13" s="1"/>
  <c r="I260" i="13"/>
  <c r="H52" i="11"/>
  <c r="H21" i="13" s="1"/>
  <c r="H78" i="13" s="1"/>
  <c r="G21" i="13"/>
  <c r="G78" i="13" s="1"/>
  <c r="I234" i="13"/>
  <c r="G121" i="13"/>
  <c r="I179" i="13" s="1"/>
  <c r="G58" i="13"/>
  <c r="G115" i="13" s="1"/>
  <c r="H69" i="12"/>
  <c r="H58" i="13" s="1"/>
  <c r="H115" i="13" s="1"/>
  <c r="G24" i="14"/>
  <c r="G48" i="14" s="1"/>
  <c r="H78" i="11"/>
  <c r="H24" i="14" s="1"/>
  <c r="H48" i="14" s="1"/>
  <c r="G19" i="14"/>
  <c r="G43" i="14" s="1"/>
  <c r="H73" i="11"/>
  <c r="H19" i="14" s="1"/>
  <c r="H43" i="14" s="1"/>
  <c r="G245" i="17"/>
  <c r="G182" i="17"/>
  <c r="F28" i="18"/>
  <c r="F59" i="18" s="1"/>
  <c r="G89" i="12"/>
  <c r="G18" i="18"/>
  <c r="G49" i="18" s="1"/>
  <c r="H79" i="12"/>
  <c r="H18" i="18" s="1"/>
  <c r="H49" i="18" s="1"/>
  <c r="G36" i="13"/>
  <c r="G93" i="13" s="1"/>
  <c r="H47" i="12"/>
  <c r="H36" i="13" s="1"/>
  <c r="H93" i="13" s="1"/>
  <c r="F29" i="13"/>
  <c r="F86" i="13" s="1"/>
  <c r="G60" i="11"/>
  <c r="G25" i="14"/>
  <c r="H79" i="11"/>
  <c r="H25" i="14" s="1"/>
  <c r="H245" i="13"/>
  <c r="F132" i="13"/>
  <c r="H190" i="13" s="1"/>
  <c r="G78" i="14"/>
  <c r="G79" i="14"/>
  <c r="J176" i="17"/>
  <c r="J240" i="17"/>
  <c r="H53" i="12"/>
  <c r="H42" i="13" s="1"/>
  <c r="H99" i="13" s="1"/>
  <c r="G42" i="13"/>
  <c r="G99" i="13" s="1"/>
  <c r="J178" i="17"/>
  <c r="J242" i="17"/>
  <c r="J199" i="17"/>
  <c r="J132" i="17"/>
  <c r="I209" i="17"/>
  <c r="I142" i="17"/>
  <c r="G246" i="17"/>
  <c r="G183" i="17"/>
  <c r="I229" i="17"/>
  <c r="I162" i="17"/>
  <c r="G37" i="13"/>
  <c r="G94" i="13" s="1"/>
  <c r="H48" i="12"/>
  <c r="H37" i="13" s="1"/>
  <c r="H94" i="13" s="1"/>
  <c r="E32" i="14"/>
  <c r="G156" i="14" s="1"/>
  <c r="H51" i="4"/>
  <c r="G67" i="4"/>
  <c r="F50" i="13"/>
  <c r="F107" i="13" s="1"/>
  <c r="G61" i="12"/>
  <c r="J175" i="17"/>
  <c r="J239" i="17"/>
  <c r="J238" i="13"/>
  <c r="H125" i="13"/>
  <c r="G41" i="13"/>
  <c r="G98" i="13" s="1"/>
  <c r="H52" i="12"/>
  <c r="H41" i="13" s="1"/>
  <c r="H98" i="13" s="1"/>
  <c r="G21" i="18"/>
  <c r="G52" i="18" s="1"/>
  <c r="H82" i="12"/>
  <c r="H21" i="18" s="1"/>
  <c r="H52" i="18" s="1"/>
  <c r="H236" i="17"/>
  <c r="H169" i="17"/>
  <c r="H244" i="13"/>
  <c r="F131" i="13"/>
  <c r="H189" i="13" s="1"/>
  <c r="E39" i="18"/>
  <c r="I200" i="17"/>
  <c r="I133" i="17"/>
  <c r="C8" i="7"/>
  <c r="F36" i="6"/>
  <c r="G20" i="13"/>
  <c r="G77" i="13" s="1"/>
  <c r="H51" i="11"/>
  <c r="H20" i="13" s="1"/>
  <c r="H77" i="13" s="1"/>
  <c r="H28" i="17"/>
  <c r="H81" i="17" s="1"/>
  <c r="H111" i="11"/>
  <c r="I28" i="17" s="1"/>
  <c r="I81" i="17" s="1"/>
  <c r="J210" i="17"/>
  <c r="J143" i="17"/>
  <c r="G26" i="13"/>
  <c r="G83" i="13" s="1"/>
  <c r="H57" i="11"/>
  <c r="H26" i="13" s="1"/>
  <c r="H83" i="13" s="1"/>
  <c r="F96" i="14"/>
  <c r="F95" i="14"/>
  <c r="F49" i="13"/>
  <c r="F106" i="13" s="1"/>
  <c r="G60" i="12"/>
  <c r="H237" i="17"/>
  <c r="H170" i="17"/>
  <c r="H46" i="11"/>
  <c r="H15" i="13" s="1"/>
  <c r="H72" i="13" s="1"/>
  <c r="G15" i="13"/>
  <c r="G72" i="13" s="1"/>
  <c r="G16" i="14"/>
  <c r="G40" i="14" s="1"/>
  <c r="H70" i="11"/>
  <c r="H16" i="14" s="1"/>
  <c r="H40" i="14" s="1"/>
  <c r="F45" i="13"/>
  <c r="F102" i="13" s="1"/>
  <c r="G56" i="12"/>
  <c r="G26" i="14"/>
  <c r="G50" i="14" s="1"/>
  <c r="H80" i="11"/>
  <c r="H26" i="14" s="1"/>
  <c r="H50" i="14" s="1"/>
  <c r="D11" i="5"/>
  <c r="G30" i="13"/>
  <c r="G87" i="13" s="1"/>
  <c r="H61" i="11"/>
  <c r="H30" i="13" s="1"/>
  <c r="H87" i="13" s="1"/>
  <c r="H46" i="17"/>
  <c r="H99" i="17" s="1"/>
  <c r="H115" i="12"/>
  <c r="I46" i="17" s="1"/>
  <c r="I99" i="17" s="1"/>
  <c r="F29" i="18"/>
  <c r="F60" i="18" s="1"/>
  <c r="G90" i="12"/>
  <c r="H232" i="17"/>
  <c r="H165" i="17"/>
  <c r="G63" i="14"/>
  <c r="G64" i="14"/>
  <c r="O51" i="4"/>
  <c r="G14" i="18"/>
  <c r="H75" i="12"/>
  <c r="H14" i="18" s="1"/>
  <c r="H58" i="11"/>
  <c r="H27" i="13" s="1"/>
  <c r="H84" i="13" s="1"/>
  <c r="G27" i="13"/>
  <c r="G84" i="13" s="1"/>
  <c r="G17" i="14"/>
  <c r="H71" i="11"/>
  <c r="H17" i="14" s="1"/>
  <c r="J211" i="17"/>
  <c r="J144" i="17"/>
  <c r="G40" i="13"/>
  <c r="G97" i="13" s="1"/>
  <c r="H51" i="12"/>
  <c r="H40" i="13" s="1"/>
  <c r="H97" i="13" s="1"/>
  <c r="F26" i="18"/>
  <c r="F57" i="18" s="1"/>
  <c r="G87" i="12"/>
  <c r="F25" i="18"/>
  <c r="F56" i="18" s="1"/>
  <c r="G86" i="12"/>
  <c r="H56" i="11"/>
  <c r="H25" i="13" s="1"/>
  <c r="H82" i="13" s="1"/>
  <c r="G25" i="13"/>
  <c r="G82" i="13" s="1"/>
  <c r="J234" i="13"/>
  <c r="H121" i="13"/>
  <c r="J179" i="13" s="1"/>
  <c r="F51" i="13"/>
  <c r="F108" i="13" s="1"/>
  <c r="G62" i="12"/>
  <c r="F151" i="13"/>
  <c r="H210" i="13" s="1"/>
  <c r="H264" i="13"/>
  <c r="I242" i="17"/>
  <c r="I178" i="17"/>
  <c r="G34" i="18"/>
  <c r="G62" i="18" s="1"/>
  <c r="H95" i="12"/>
  <c r="H34" i="18" s="1"/>
  <c r="H62" i="18" s="1"/>
  <c r="G272" i="13"/>
  <c r="E159" i="13"/>
  <c r="G218" i="13" s="1"/>
  <c r="I239" i="17"/>
  <c r="I175" i="17"/>
  <c r="J154" i="17"/>
  <c r="J221" i="17"/>
  <c r="G22" i="14"/>
  <c r="G46" i="14" s="1"/>
  <c r="H76" i="11"/>
  <c r="H22" i="14" s="1"/>
  <c r="H46" i="14" s="1"/>
  <c r="J160" i="17"/>
  <c r="J227" i="17"/>
  <c r="I210" i="17"/>
  <c r="I143" i="17"/>
  <c r="H248" i="13"/>
  <c r="F135" i="13"/>
  <c r="H193" i="13" s="1"/>
  <c r="E159" i="14"/>
  <c r="E148" i="14"/>
  <c r="H155" i="14"/>
  <c r="F70" i="14"/>
  <c r="H142" i="14" s="1"/>
  <c r="F71" i="14"/>
  <c r="G267" i="13"/>
  <c r="E154" i="13"/>
  <c r="G213" i="13" s="1"/>
  <c r="H37" i="14"/>
  <c r="G24" i="13"/>
  <c r="G81" i="13" s="1"/>
  <c r="H55" i="11"/>
  <c r="H24" i="13" s="1"/>
  <c r="H81" i="13" s="1"/>
  <c r="H252" i="13"/>
  <c r="F139" i="13"/>
  <c r="H197" i="13" s="1"/>
  <c r="H234" i="17"/>
  <c r="H167" i="17"/>
  <c r="G68" i="13"/>
  <c r="P49" i="4"/>
  <c r="F45" i="18"/>
  <c r="H249" i="13"/>
  <c r="F136" i="13"/>
  <c r="H194" i="13" s="1"/>
  <c r="I211" i="17"/>
  <c r="I144" i="17"/>
  <c r="R56" i="4"/>
  <c r="R58" i="4" s="1"/>
  <c r="S55" i="4" s="1"/>
  <c r="J156" i="17"/>
  <c r="J223" i="17"/>
  <c r="F31" i="13"/>
  <c r="F88" i="13" s="1"/>
  <c r="G62" i="11"/>
  <c r="J177" i="17"/>
  <c r="J241" i="17"/>
  <c r="F149" i="13"/>
  <c r="H208" i="13" s="1"/>
  <c r="H262" i="13"/>
  <c r="H247" i="13"/>
  <c r="F134" i="13"/>
  <c r="H192" i="13" s="1"/>
  <c r="C126" i="10"/>
  <c r="C33" i="10"/>
  <c r="C141" i="10"/>
  <c r="C156" i="10"/>
  <c r="C171" i="10"/>
  <c r="C125" i="10"/>
  <c r="C32" i="10"/>
  <c r="C140" i="10"/>
  <c r="C155" i="10"/>
  <c r="C170" i="10"/>
  <c r="B15" i="7"/>
  <c r="D144" i="10"/>
  <c r="D159" i="10"/>
  <c r="D174" i="10"/>
  <c r="D129" i="10"/>
  <c r="D36" i="10"/>
  <c r="J260" i="13"/>
  <c r="H147" i="13"/>
  <c r="F167" i="13"/>
  <c r="H226" i="13" s="1"/>
  <c r="H277" i="13"/>
  <c r="F145" i="13"/>
  <c r="H204" i="13" s="1"/>
  <c r="H258" i="13"/>
  <c r="J213" i="17"/>
  <c r="J146" i="17"/>
  <c r="J155" i="17"/>
  <c r="J222" i="17"/>
  <c r="G28" i="14"/>
  <c r="G52" i="14" s="1"/>
  <c r="H82" i="11"/>
  <c r="H28" i="14" s="1"/>
  <c r="H52" i="14" s="1"/>
  <c r="F146" i="13"/>
  <c r="H205" i="13" s="1"/>
  <c r="H259" i="13"/>
  <c r="I238" i="13"/>
  <c r="G125" i="13"/>
  <c r="I183" i="13" s="1"/>
  <c r="F150" i="13"/>
  <c r="H209" i="13" s="1"/>
  <c r="H263" i="13"/>
  <c r="F30" i="14"/>
  <c r="G84" i="11"/>
  <c r="H80" i="17"/>
  <c r="H110" i="11"/>
  <c r="F168" i="13"/>
  <c r="H227" i="13" s="1"/>
  <c r="H278" i="13"/>
  <c r="G27" i="14"/>
  <c r="G51" i="14" s="1"/>
  <c r="H81" i="11"/>
  <c r="H27" i="14" s="1"/>
  <c r="H51" i="14" s="1"/>
  <c r="H242" i="13"/>
  <c r="F129" i="13"/>
  <c r="H187" i="13" s="1"/>
  <c r="H216" i="17"/>
  <c r="H149" i="17"/>
  <c r="J159" i="17"/>
  <c r="J226" i="17"/>
  <c r="G271" i="13"/>
  <c r="E158" i="13"/>
  <c r="G217" i="13" s="1"/>
  <c r="H237" i="13"/>
  <c r="F124" i="13"/>
  <c r="H182" i="13" s="1"/>
  <c r="F166" i="13"/>
  <c r="H225" i="13" s="1"/>
  <c r="H276" i="13"/>
  <c r="F49" i="4"/>
  <c r="E68" i="4"/>
  <c r="J208" i="17"/>
  <c r="J141" i="17"/>
  <c r="G20" i="18"/>
  <c r="G51" i="18" s="1"/>
  <c r="H81" i="12"/>
  <c r="H20" i="18" s="1"/>
  <c r="H51" i="18" s="1"/>
  <c r="H50" i="11"/>
  <c r="H19" i="13" s="1"/>
  <c r="H76" i="13" s="1"/>
  <c r="G19" i="13"/>
  <c r="G76" i="13" s="1"/>
  <c r="H45" i="17"/>
  <c r="H98" i="17" s="1"/>
  <c r="H114" i="12"/>
  <c r="I45" i="17" s="1"/>
  <c r="I98" i="17" s="1"/>
  <c r="J203" i="17"/>
  <c r="J136" i="17"/>
  <c r="G253" i="17"/>
  <c r="I201" i="17"/>
  <c r="I134" i="17"/>
  <c r="G52" i="13"/>
  <c r="G109" i="13" s="1"/>
  <c r="H63" i="12"/>
  <c r="H52" i="13" s="1"/>
  <c r="H109" i="13" s="1"/>
  <c r="J212" i="17"/>
  <c r="J145" i="17"/>
  <c r="H48" i="11"/>
  <c r="H17" i="13" s="1"/>
  <c r="H74" i="13" s="1"/>
  <c r="G17" i="13"/>
  <c r="G74" i="13" s="1"/>
  <c r="J206" i="17"/>
  <c r="J139" i="17"/>
  <c r="H231" i="17"/>
  <c r="H164" i="17"/>
  <c r="G273" i="13"/>
  <c r="E160" i="13"/>
  <c r="G219" i="13" s="1"/>
  <c r="G250" i="13"/>
  <c r="E137" i="13"/>
  <c r="G195" i="13" s="1"/>
  <c r="I213" i="17"/>
  <c r="I146" i="17"/>
  <c r="H217" i="17"/>
  <c r="H150" i="17"/>
  <c r="G35" i="13"/>
  <c r="H46" i="12"/>
  <c r="H35" i="13" s="1"/>
  <c r="F284" i="13"/>
  <c r="H42" i="17"/>
  <c r="H95" i="17" s="1"/>
  <c r="H111" i="12"/>
  <c r="I42" i="17" s="1"/>
  <c r="I95" i="17" s="1"/>
  <c r="F47" i="13"/>
  <c r="F104" i="13" s="1"/>
  <c r="G58" i="12"/>
  <c r="G247" i="17"/>
  <c r="G184" i="17"/>
  <c r="I155" i="17"/>
  <c r="I222" i="17"/>
  <c r="G250" i="17"/>
  <c r="G187" i="17"/>
  <c r="H163" i="18"/>
  <c r="F126" i="18"/>
  <c r="F143" i="18" s="1"/>
  <c r="H156" i="18" s="1"/>
  <c r="F125" i="18"/>
  <c r="F142" i="18" s="1"/>
  <c r="H155" i="18" s="1"/>
  <c r="F124" i="18"/>
  <c r="F141" i="18" s="1"/>
  <c r="H167" i="18"/>
  <c r="H164" i="18"/>
  <c r="J158" i="17"/>
  <c r="J225" i="17"/>
  <c r="E165" i="18"/>
  <c r="E166" i="18"/>
  <c r="H233" i="13"/>
  <c r="F120" i="13"/>
  <c r="J207" i="17"/>
  <c r="J140" i="17"/>
  <c r="F22" i="18"/>
  <c r="F53" i="18" s="1"/>
  <c r="G83" i="12"/>
  <c r="J137" i="17"/>
  <c r="J204" i="17"/>
  <c r="E33" i="13"/>
  <c r="H215" i="17"/>
  <c r="H148" i="17"/>
  <c r="I221" i="17"/>
  <c r="I154" i="17"/>
  <c r="G59" i="13"/>
  <c r="G116" i="13" s="1"/>
  <c r="H70" i="12"/>
  <c r="H59" i="13" s="1"/>
  <c r="H116" i="13" s="1"/>
  <c r="F46" i="13"/>
  <c r="F103" i="13" s="1"/>
  <c r="G57" i="12"/>
  <c r="G116" i="17"/>
  <c r="I227" i="17"/>
  <c r="I160" i="17"/>
  <c r="G43" i="13"/>
  <c r="G100" i="13" s="1"/>
  <c r="H54" i="12"/>
  <c r="H43" i="13" s="1"/>
  <c r="H100" i="13" s="1"/>
  <c r="I159" i="17"/>
  <c r="I226" i="17"/>
  <c r="E157" i="14"/>
  <c r="E158" i="14"/>
  <c r="F48" i="13"/>
  <c r="F105" i="13" s="1"/>
  <c r="G59" i="12"/>
  <c r="G114" i="17"/>
  <c r="G21" i="14"/>
  <c r="G45" i="14" s="1"/>
  <c r="H75" i="11"/>
  <c r="H21" i="14" s="1"/>
  <c r="H45" i="14" s="1"/>
  <c r="H44" i="11"/>
  <c r="H13" i="13" s="1"/>
  <c r="H70" i="13" s="1"/>
  <c r="G13" i="13"/>
  <c r="G70" i="13" s="1"/>
  <c r="G37" i="14"/>
  <c r="H246" i="13"/>
  <c r="F133" i="13"/>
  <c r="H191" i="13" s="1"/>
  <c r="H47" i="17"/>
  <c r="H100" i="17" s="1"/>
  <c r="H116" i="12"/>
  <c r="I47" i="17" s="1"/>
  <c r="I100" i="17" s="1"/>
  <c r="G35" i="18"/>
  <c r="G63" i="18" s="1"/>
  <c r="H96" i="12"/>
  <c r="H35" i="18" s="1"/>
  <c r="H63" i="18" s="1"/>
  <c r="G30" i="18"/>
  <c r="G61" i="18" s="1"/>
  <c r="H91" i="12"/>
  <c r="H30" i="18" s="1"/>
  <c r="H61" i="18" s="1"/>
  <c r="G56" i="13"/>
  <c r="G113" i="13" s="1"/>
  <c r="H67" i="12"/>
  <c r="H56" i="13" s="1"/>
  <c r="H113" i="13" s="1"/>
  <c r="J161" i="17"/>
  <c r="J228" i="17"/>
  <c r="J171" i="17"/>
  <c r="J238" i="17"/>
  <c r="H68" i="13"/>
  <c r="D145" i="10"/>
  <c r="D160" i="10"/>
  <c r="D175" i="10"/>
  <c r="D37" i="10"/>
  <c r="D130" i="10"/>
  <c r="E18" i="6"/>
  <c r="F9" i="6" s="1"/>
  <c r="G178" i="13"/>
  <c r="G39" i="13"/>
  <c r="G96" i="13" s="1"/>
  <c r="H50" i="12"/>
  <c r="H39" i="13" s="1"/>
  <c r="H96" i="13" s="1"/>
  <c r="G18" i="13"/>
  <c r="G75" i="13" s="1"/>
  <c r="H49" i="11"/>
  <c r="H18" i="13" s="1"/>
  <c r="H75" i="13" s="1"/>
  <c r="R39" i="4"/>
  <c r="I223" i="17"/>
  <c r="I156" i="17"/>
  <c r="G253" i="13"/>
  <c r="E140" i="13"/>
  <c r="G198" i="13" s="1"/>
  <c r="I241" i="17"/>
  <c r="I177" i="17"/>
  <c r="F44" i="13"/>
  <c r="F101" i="13" s="1"/>
  <c r="G55" i="12"/>
  <c r="G257" i="13"/>
  <c r="E144" i="13"/>
  <c r="G203" i="13" s="1"/>
  <c r="H45" i="11"/>
  <c r="H14" i="13" s="1"/>
  <c r="H71" i="13" s="1"/>
  <c r="G14" i="13"/>
  <c r="G71" i="13" s="1"/>
  <c r="G254" i="17"/>
  <c r="H17" i="6" l="1"/>
  <c r="F54" i="14"/>
  <c r="F59" i="14" s="1"/>
  <c r="H152" i="14"/>
  <c r="I80" i="17"/>
  <c r="I119" i="17" s="1"/>
  <c r="J206" i="13"/>
  <c r="G160" i="14"/>
  <c r="F8" i="6"/>
  <c r="E174" i="18" s="1"/>
  <c r="D169" i="14"/>
  <c r="D178" i="14" s="1"/>
  <c r="D180" i="14" s="1"/>
  <c r="E61" i="14"/>
  <c r="G141" i="14" s="1"/>
  <c r="G60" i="14"/>
  <c r="H60" i="14"/>
  <c r="F157" i="14"/>
  <c r="H251" i="17"/>
  <c r="H49" i="14"/>
  <c r="H102" i="14" s="1"/>
  <c r="J154" i="14"/>
  <c r="G49" i="14"/>
  <c r="G102" i="14" s="1"/>
  <c r="I154" i="14"/>
  <c r="F101" i="14"/>
  <c r="F74" i="14"/>
  <c r="H140" i="14" s="1"/>
  <c r="F73" i="14"/>
  <c r="H41" i="14"/>
  <c r="J153" i="14"/>
  <c r="G41" i="14"/>
  <c r="I153" i="14"/>
  <c r="F18" i="6"/>
  <c r="G9" i="6" s="1"/>
  <c r="C39" i="10"/>
  <c r="G7" i="6"/>
  <c r="F289" i="13" s="1"/>
  <c r="F148" i="14"/>
  <c r="G37" i="6" s="1"/>
  <c r="G34" i="6"/>
  <c r="C147" i="10"/>
  <c r="F262" i="17"/>
  <c r="G47" i="6" s="1"/>
  <c r="D290" i="13"/>
  <c r="D292" i="13" s="1"/>
  <c r="D302" i="13" s="1"/>
  <c r="D305" i="13" s="1"/>
  <c r="H6" i="6"/>
  <c r="G259" i="17" s="1"/>
  <c r="F47" i="6"/>
  <c r="H144" i="14"/>
  <c r="G191" i="17"/>
  <c r="E12" i="7" s="1"/>
  <c r="G285" i="13"/>
  <c r="H253" i="17"/>
  <c r="H119" i="17"/>
  <c r="I251" i="17" s="1"/>
  <c r="H15" i="6"/>
  <c r="G260" i="17" s="1"/>
  <c r="G284" i="13"/>
  <c r="C177" i="10"/>
  <c r="C132" i="10"/>
  <c r="C22" i="7"/>
  <c r="H116" i="17"/>
  <c r="I247" i="17" s="1"/>
  <c r="C162" i="10"/>
  <c r="S39" i="4"/>
  <c r="Q64" i="4"/>
  <c r="R61" i="4" s="1"/>
  <c r="R62" i="4" s="1"/>
  <c r="R63" i="4" s="1"/>
  <c r="N67" i="4"/>
  <c r="O43" i="4"/>
  <c r="N68" i="4"/>
  <c r="D8" i="7"/>
  <c r="G36" i="6"/>
  <c r="S56" i="4"/>
  <c r="S58" i="4" s="1"/>
  <c r="I236" i="13"/>
  <c r="G123" i="13"/>
  <c r="I181" i="13" s="1"/>
  <c r="J240" i="13"/>
  <c r="H127" i="13"/>
  <c r="F157" i="13"/>
  <c r="H216" i="13" s="1"/>
  <c r="H270" i="13"/>
  <c r="F156" i="13"/>
  <c r="H215" i="13" s="1"/>
  <c r="H269" i="13"/>
  <c r="H253" i="13"/>
  <c r="F140" i="13"/>
  <c r="H198" i="13" s="1"/>
  <c r="I246" i="13"/>
  <c r="G133" i="13"/>
  <c r="I191" i="13" s="1"/>
  <c r="C9" i="7"/>
  <c r="C15" i="7" s="1"/>
  <c r="F37" i="6"/>
  <c r="F41" i="6" s="1"/>
  <c r="H124" i="18"/>
  <c r="H141" i="18" s="1"/>
  <c r="J167" i="18"/>
  <c r="J164" i="18"/>
  <c r="H126" i="18"/>
  <c r="H143" i="18" s="1"/>
  <c r="J163" i="18"/>
  <c r="H125" i="18"/>
  <c r="H142" i="18" s="1"/>
  <c r="G149" i="13"/>
  <c r="I208" i="13" s="1"/>
  <c r="I262" i="13"/>
  <c r="F32" i="14"/>
  <c r="H156" i="14" s="1"/>
  <c r="J249" i="13"/>
  <c r="H136" i="13"/>
  <c r="J167" i="17"/>
  <c r="J234" i="17"/>
  <c r="F154" i="13"/>
  <c r="H213" i="13" s="1"/>
  <c r="H267" i="13"/>
  <c r="J237" i="13"/>
  <c r="H124" i="13"/>
  <c r="F158" i="13"/>
  <c r="H217" i="13" s="1"/>
  <c r="H271" i="13"/>
  <c r="J248" i="13"/>
  <c r="H135" i="13"/>
  <c r="I242" i="13"/>
  <c r="G129" i="13"/>
  <c r="I187" i="13" s="1"/>
  <c r="J263" i="13"/>
  <c r="H150" i="13"/>
  <c r="G146" i="13"/>
  <c r="I205" i="13" s="1"/>
  <c r="I259" i="13"/>
  <c r="I264" i="13"/>
  <c r="G151" i="13"/>
  <c r="I210" i="13" s="1"/>
  <c r="J258" i="13"/>
  <c r="H145" i="13"/>
  <c r="G28" i="18"/>
  <c r="G59" i="18" s="1"/>
  <c r="H89" i="12"/>
  <c r="H28" i="18" s="1"/>
  <c r="H59" i="18" s="1"/>
  <c r="J277" i="13"/>
  <c r="H167" i="13"/>
  <c r="I243" i="13"/>
  <c r="G130" i="13"/>
  <c r="I188" i="13" s="1"/>
  <c r="H39" i="6"/>
  <c r="E13" i="7"/>
  <c r="I232" i="17"/>
  <c r="I165" i="17"/>
  <c r="I237" i="17"/>
  <c r="I170" i="17"/>
  <c r="H95" i="14"/>
  <c r="H96" i="14"/>
  <c r="I236" i="17"/>
  <c r="I169" i="17"/>
  <c r="H187" i="17"/>
  <c r="H250" i="17"/>
  <c r="H246" i="17"/>
  <c r="H183" i="17"/>
  <c r="G23" i="18"/>
  <c r="G54" i="18" s="1"/>
  <c r="H84" i="12"/>
  <c r="H23" i="18" s="1"/>
  <c r="H54" i="18" s="1"/>
  <c r="J150" i="17"/>
  <c r="J217" i="17"/>
  <c r="J278" i="13"/>
  <c r="H168" i="13"/>
  <c r="I239" i="13"/>
  <c r="G126" i="13"/>
  <c r="I184" i="13" s="1"/>
  <c r="F65" i="4"/>
  <c r="E13" i="8" s="1"/>
  <c r="E15" i="8" s="1"/>
  <c r="F52" i="4"/>
  <c r="J236" i="13"/>
  <c r="H123" i="13"/>
  <c r="F153" i="13"/>
  <c r="H212" i="13" s="1"/>
  <c r="H266" i="13"/>
  <c r="I240" i="13"/>
  <c r="G127" i="13"/>
  <c r="I185" i="13" s="1"/>
  <c r="J233" i="13"/>
  <c r="H120" i="13"/>
  <c r="I235" i="17"/>
  <c r="I168" i="17"/>
  <c r="J265" i="13"/>
  <c r="H152" i="13"/>
  <c r="H247" i="17"/>
  <c r="H184" i="17"/>
  <c r="G168" i="13"/>
  <c r="I227" i="13" s="1"/>
  <c r="I278" i="13"/>
  <c r="G22" i="18"/>
  <c r="G53" i="18" s="1"/>
  <c r="H83" i="12"/>
  <c r="H22" i="18" s="1"/>
  <c r="H53" i="18" s="1"/>
  <c r="H178" i="13"/>
  <c r="H154" i="18"/>
  <c r="H159" i="18" s="1"/>
  <c r="H168" i="18"/>
  <c r="H169" i="18"/>
  <c r="J163" i="17"/>
  <c r="J230" i="17"/>
  <c r="G92" i="13"/>
  <c r="J239" i="13"/>
  <c r="H126" i="13"/>
  <c r="I274" i="13"/>
  <c r="G161" i="13"/>
  <c r="I220" i="13" s="1"/>
  <c r="I241" i="13"/>
  <c r="G128" i="13"/>
  <c r="I186" i="13" s="1"/>
  <c r="C6" i="9"/>
  <c r="H254" i="17"/>
  <c r="F39" i="18"/>
  <c r="I164" i="18"/>
  <c r="G124" i="18"/>
  <c r="G141" i="18" s="1"/>
  <c r="I167" i="18"/>
  <c r="G126" i="18"/>
  <c r="G143" i="18" s="1"/>
  <c r="I156" i="18" s="1"/>
  <c r="I163" i="18"/>
  <c r="G125" i="18"/>
  <c r="G142" i="18" s="1"/>
  <c r="I155" i="18" s="1"/>
  <c r="I247" i="13"/>
  <c r="G134" i="13"/>
  <c r="I192" i="13" s="1"/>
  <c r="G26" i="18"/>
  <c r="G57" i="18" s="1"/>
  <c r="H87" i="12"/>
  <c r="H26" i="18" s="1"/>
  <c r="H57" i="18" s="1"/>
  <c r="H45" i="18"/>
  <c r="I234" i="17"/>
  <c r="I167" i="17"/>
  <c r="E11" i="5"/>
  <c r="H70" i="14"/>
  <c r="J155" i="14"/>
  <c r="H71" i="14"/>
  <c r="I248" i="13"/>
  <c r="G135" i="13"/>
  <c r="I193" i="13" s="1"/>
  <c r="J216" i="17"/>
  <c r="J149" i="17"/>
  <c r="G150" i="13"/>
  <c r="I209" i="13" s="1"/>
  <c r="I263" i="13"/>
  <c r="H67" i="4"/>
  <c r="I51" i="4"/>
  <c r="I67" i="4" s="1"/>
  <c r="J264" i="13"/>
  <c r="H151" i="13"/>
  <c r="G145" i="13"/>
  <c r="I204" i="13" s="1"/>
  <c r="I258" i="13"/>
  <c r="G167" i="13"/>
  <c r="I226" i="13" s="1"/>
  <c r="I277" i="13"/>
  <c r="J243" i="13"/>
  <c r="H130" i="13"/>
  <c r="J164" i="17"/>
  <c r="J231" i="17"/>
  <c r="R57" i="4"/>
  <c r="G96" i="14"/>
  <c r="G95" i="14"/>
  <c r="F282" i="13"/>
  <c r="F283" i="13"/>
  <c r="G24" i="18"/>
  <c r="G55" i="18" s="1"/>
  <c r="H85" i="12"/>
  <c r="H24" i="18" s="1"/>
  <c r="H55" i="18" s="1"/>
  <c r="J244" i="13"/>
  <c r="H131" i="13"/>
  <c r="G31" i="14"/>
  <c r="G55" i="14" s="1"/>
  <c r="H85" i="11"/>
  <c r="H31" i="14" s="1"/>
  <c r="H55" i="14" s="1"/>
  <c r="J276" i="13"/>
  <c r="H166" i="13"/>
  <c r="I217" i="17"/>
  <c r="I150" i="17"/>
  <c r="E159" i="10"/>
  <c r="E174" i="10"/>
  <c r="E144" i="10"/>
  <c r="E129" i="10"/>
  <c r="E36" i="10"/>
  <c r="J274" i="13"/>
  <c r="H161" i="13"/>
  <c r="J220" i="13" s="1"/>
  <c r="I235" i="13"/>
  <c r="G122" i="13"/>
  <c r="I180" i="13" s="1"/>
  <c r="H57" i="12"/>
  <c r="H46" i="13" s="1"/>
  <c r="H103" i="13" s="1"/>
  <c r="G46" i="13"/>
  <c r="G103" i="13" s="1"/>
  <c r="E65" i="13"/>
  <c r="G200" i="13" s="1"/>
  <c r="G229" i="13" s="1"/>
  <c r="E10" i="13"/>
  <c r="I163" i="17"/>
  <c r="I230" i="17"/>
  <c r="J241" i="13"/>
  <c r="H128" i="13"/>
  <c r="I215" i="17"/>
  <c r="I148" i="17"/>
  <c r="I233" i="13"/>
  <c r="G120" i="13"/>
  <c r="G51" i="13"/>
  <c r="G108" i="13" s="1"/>
  <c r="H62" i="12"/>
  <c r="H51" i="13" s="1"/>
  <c r="H108" i="13" s="1"/>
  <c r="J247" i="13"/>
  <c r="H134" i="13"/>
  <c r="G45" i="18"/>
  <c r="G29" i="18"/>
  <c r="G60" i="18" s="1"/>
  <c r="H90" i="12"/>
  <c r="H29" i="18" s="1"/>
  <c r="H60" i="18" s="1"/>
  <c r="J252" i="13"/>
  <c r="H139" i="13"/>
  <c r="G70" i="14"/>
  <c r="I142" i="14" s="1"/>
  <c r="I155" i="14"/>
  <c r="G71" i="14"/>
  <c r="I216" i="17"/>
  <c r="I149" i="17"/>
  <c r="D140" i="10"/>
  <c r="D155" i="10"/>
  <c r="D170" i="10"/>
  <c r="D125" i="10"/>
  <c r="D32" i="10"/>
  <c r="J183" i="13"/>
  <c r="G50" i="13"/>
  <c r="G107" i="13" s="1"/>
  <c r="H61" i="12"/>
  <c r="H50" i="13" s="1"/>
  <c r="H107" i="13" s="1"/>
  <c r="E35" i="14"/>
  <c r="E12" i="14"/>
  <c r="H60" i="11"/>
  <c r="H29" i="13" s="1"/>
  <c r="H86" i="13" s="1"/>
  <c r="G29" i="13"/>
  <c r="G86" i="13" s="1"/>
  <c r="I231" i="17"/>
  <c r="I164" i="17"/>
  <c r="H118" i="17"/>
  <c r="F165" i="18"/>
  <c r="F166" i="18"/>
  <c r="I244" i="13"/>
  <c r="G131" i="13"/>
  <c r="I189" i="13" s="1"/>
  <c r="F61" i="13"/>
  <c r="I245" i="13"/>
  <c r="G132" i="13"/>
  <c r="I190" i="13" s="1"/>
  <c r="E21" i="6"/>
  <c r="E42" i="6" s="1"/>
  <c r="E44" i="6" s="1"/>
  <c r="G166" i="13"/>
  <c r="I225" i="13" s="1"/>
  <c r="I276" i="13"/>
  <c r="G28" i="13"/>
  <c r="G85" i="13" s="1"/>
  <c r="H59" i="11"/>
  <c r="H28" i="13" s="1"/>
  <c r="H85" i="13" s="1"/>
  <c r="G44" i="13"/>
  <c r="G101" i="13" s="1"/>
  <c r="H55" i="12"/>
  <c r="H44" i="13" s="1"/>
  <c r="H101" i="13" s="1"/>
  <c r="J168" i="17"/>
  <c r="J235" i="17"/>
  <c r="H92" i="13"/>
  <c r="I233" i="17"/>
  <c r="I166" i="17"/>
  <c r="J261" i="13"/>
  <c r="H148" i="13"/>
  <c r="D186" i="18"/>
  <c r="D188" i="18" s="1"/>
  <c r="B23" i="7"/>
  <c r="E52" i="6"/>
  <c r="J275" i="13"/>
  <c r="H165" i="13"/>
  <c r="H245" i="17"/>
  <c r="H182" i="17"/>
  <c r="G152" i="13"/>
  <c r="I211" i="13" s="1"/>
  <c r="I265" i="13"/>
  <c r="H114" i="17"/>
  <c r="G148" i="13"/>
  <c r="I207" i="13" s="1"/>
  <c r="I261" i="13"/>
  <c r="G165" i="13"/>
  <c r="I224" i="13" s="1"/>
  <c r="I275" i="13"/>
  <c r="J235" i="13"/>
  <c r="H122" i="13"/>
  <c r="G48" i="13"/>
  <c r="G105" i="13" s="1"/>
  <c r="H59" i="12"/>
  <c r="H48" i="13" s="1"/>
  <c r="H105" i="13" s="1"/>
  <c r="F155" i="13"/>
  <c r="H214" i="13" s="1"/>
  <c r="H268" i="13"/>
  <c r="G47" i="13"/>
  <c r="G104" i="13" s="1"/>
  <c r="H58" i="12"/>
  <c r="H47" i="13" s="1"/>
  <c r="H104" i="13" s="1"/>
  <c r="J166" i="17"/>
  <c r="J233" i="17"/>
  <c r="G30" i="14"/>
  <c r="H84" i="11"/>
  <c r="H30" i="14" s="1"/>
  <c r="H115" i="17"/>
  <c r="H62" i="11"/>
  <c r="H31" i="13" s="1"/>
  <c r="H88" i="13" s="1"/>
  <c r="G31" i="13"/>
  <c r="G88" i="13" s="1"/>
  <c r="P50" i="4"/>
  <c r="P51" i="4" s="1"/>
  <c r="J246" i="13"/>
  <c r="H133" i="13"/>
  <c r="F160" i="13"/>
  <c r="H219" i="13" s="1"/>
  <c r="H273" i="13"/>
  <c r="G25" i="18"/>
  <c r="G56" i="18" s="1"/>
  <c r="H86" i="12"/>
  <c r="H25" i="18" s="1"/>
  <c r="H56" i="18" s="1"/>
  <c r="J262" i="13"/>
  <c r="H149" i="13"/>
  <c r="I249" i="13"/>
  <c r="G136" i="13"/>
  <c r="I194" i="13" s="1"/>
  <c r="I252" i="13"/>
  <c r="G139" i="13"/>
  <c r="I197" i="13" s="1"/>
  <c r="G45" i="13"/>
  <c r="G102" i="13" s="1"/>
  <c r="H56" i="12"/>
  <c r="H45" i="13" s="1"/>
  <c r="H102" i="13" s="1"/>
  <c r="I237" i="13"/>
  <c r="G124" i="13"/>
  <c r="I182" i="13" s="1"/>
  <c r="G49" i="13"/>
  <c r="G106" i="13" s="1"/>
  <c r="H60" i="12"/>
  <c r="H49" i="13" s="1"/>
  <c r="H106" i="13" s="1"/>
  <c r="J242" i="13"/>
  <c r="H129" i="13"/>
  <c r="E42" i="18"/>
  <c r="E12" i="18"/>
  <c r="F159" i="13"/>
  <c r="H218" i="13" s="1"/>
  <c r="H272" i="13"/>
  <c r="J259" i="13"/>
  <c r="H146" i="13"/>
  <c r="J205" i="13" s="1"/>
  <c r="H251" i="13"/>
  <c r="F138" i="13"/>
  <c r="H196" i="13" s="1"/>
  <c r="E160" i="10"/>
  <c r="E175" i="10"/>
  <c r="E37" i="10"/>
  <c r="E130" i="10"/>
  <c r="E145" i="10"/>
  <c r="J165" i="17"/>
  <c r="J232" i="17"/>
  <c r="G27" i="18"/>
  <c r="G58" i="18" s="1"/>
  <c r="H88" i="12"/>
  <c r="H27" i="18" s="1"/>
  <c r="H58" i="18" s="1"/>
  <c r="J170" i="17"/>
  <c r="J237" i="17"/>
  <c r="J169" i="17"/>
  <c r="J236" i="17"/>
  <c r="F33" i="13"/>
  <c r="F144" i="13"/>
  <c r="H203" i="13" s="1"/>
  <c r="H257" i="13"/>
  <c r="J245" i="13"/>
  <c r="H132" i="13"/>
  <c r="E289" i="13"/>
  <c r="E292" i="13" s="1"/>
  <c r="H250" i="13"/>
  <c r="F137" i="13"/>
  <c r="H195" i="13" s="1"/>
  <c r="J191" i="13" l="1"/>
  <c r="I17" i="6"/>
  <c r="I152" i="14"/>
  <c r="I114" i="17"/>
  <c r="J182" i="17" s="1"/>
  <c r="J215" i="17"/>
  <c r="I116" i="17"/>
  <c r="J247" i="17" s="1"/>
  <c r="J184" i="13"/>
  <c r="B19" i="7"/>
  <c r="I118" i="17"/>
  <c r="J192" i="13"/>
  <c r="J210" i="13"/>
  <c r="I115" i="17"/>
  <c r="J246" i="17" s="1"/>
  <c r="J208" i="13"/>
  <c r="H54" i="14"/>
  <c r="H59" i="14" s="1"/>
  <c r="J152" i="14"/>
  <c r="J148" i="17"/>
  <c r="H160" i="14"/>
  <c r="E166" i="14"/>
  <c r="E50" i="6"/>
  <c r="F12" i="6"/>
  <c r="G18" i="6"/>
  <c r="H9" i="6" s="1"/>
  <c r="S57" i="4"/>
  <c r="F61" i="14"/>
  <c r="H141" i="14" s="1"/>
  <c r="D9" i="7"/>
  <c r="D15" i="7" s="1"/>
  <c r="D22" i="7"/>
  <c r="G101" i="14"/>
  <c r="G74" i="14"/>
  <c r="I140" i="14" s="1"/>
  <c r="G73" i="14"/>
  <c r="H101" i="14"/>
  <c r="H74" i="14"/>
  <c r="H73" i="14"/>
  <c r="J181" i="13"/>
  <c r="G8" i="6"/>
  <c r="F174" i="18" s="1"/>
  <c r="E175" i="18"/>
  <c r="E177" i="18" s="1"/>
  <c r="H8" i="6"/>
  <c r="G174" i="18" s="1"/>
  <c r="F175" i="18"/>
  <c r="E49" i="6"/>
  <c r="J190" i="13"/>
  <c r="F167" i="14"/>
  <c r="F274" i="17"/>
  <c r="F276" i="17" s="1"/>
  <c r="B18" i="7"/>
  <c r="E167" i="14"/>
  <c r="I6" i="6"/>
  <c r="H259" i="17" s="1"/>
  <c r="I188" i="17"/>
  <c r="G41" i="6"/>
  <c r="J186" i="13"/>
  <c r="G16" i="6"/>
  <c r="H7" i="6" s="1"/>
  <c r="J180" i="13"/>
  <c r="G262" i="17"/>
  <c r="H47" i="6" s="1"/>
  <c r="I184" i="17"/>
  <c r="I15" i="6"/>
  <c r="H260" i="17" s="1"/>
  <c r="F21" i="6"/>
  <c r="F42" i="6" s="1"/>
  <c r="F44" i="6" s="1"/>
  <c r="H34" i="6"/>
  <c r="J187" i="13"/>
  <c r="I254" i="17"/>
  <c r="J144" i="14"/>
  <c r="J188" i="13"/>
  <c r="H191" i="17"/>
  <c r="I34" i="6" s="1"/>
  <c r="R64" i="4"/>
  <c r="S61" i="4" s="1"/>
  <c r="S62" i="4" s="1"/>
  <c r="S63" i="4" s="1"/>
  <c r="O44" i="4"/>
  <c r="O46" i="4" s="1"/>
  <c r="O65" i="4"/>
  <c r="E8" i="7"/>
  <c r="H36" i="6"/>
  <c r="E302" i="13"/>
  <c r="E305" i="13" s="1"/>
  <c r="C18" i="7"/>
  <c r="F49" i="6"/>
  <c r="F10" i="13"/>
  <c r="F65" i="13"/>
  <c r="H200" i="13" s="1"/>
  <c r="H229" i="13" s="1"/>
  <c r="H61" i="13"/>
  <c r="I266" i="13"/>
  <c r="G153" i="13"/>
  <c r="I212" i="13" s="1"/>
  <c r="I253" i="17"/>
  <c r="J272" i="13"/>
  <c r="H159" i="13"/>
  <c r="I178" i="13"/>
  <c r="G282" i="13"/>
  <c r="G283" i="13"/>
  <c r="J225" i="13"/>
  <c r="J189" i="13"/>
  <c r="G61" i="13"/>
  <c r="H284" i="13"/>
  <c r="J211" i="13"/>
  <c r="J178" i="13"/>
  <c r="F68" i="4"/>
  <c r="G49" i="4"/>
  <c r="J227" i="13"/>
  <c r="J155" i="18"/>
  <c r="J185" i="13"/>
  <c r="E155" i="10"/>
  <c r="E170" i="10"/>
  <c r="E140" i="10"/>
  <c r="E125" i="10"/>
  <c r="E32" i="10"/>
  <c r="J269" i="13"/>
  <c r="H156" i="13"/>
  <c r="J270" i="13"/>
  <c r="H157" i="13"/>
  <c r="I245" i="17"/>
  <c r="I182" i="17"/>
  <c r="J257" i="13"/>
  <c r="H144" i="13"/>
  <c r="J250" i="13"/>
  <c r="H137" i="13"/>
  <c r="G157" i="14"/>
  <c r="G158" i="14"/>
  <c r="I272" i="13"/>
  <c r="G159" i="13"/>
  <c r="I218" i="13" s="1"/>
  <c r="D6" i="9"/>
  <c r="G39" i="18"/>
  <c r="J273" i="13"/>
  <c r="H160" i="13"/>
  <c r="H39" i="18"/>
  <c r="G144" i="13"/>
  <c r="I203" i="13" s="1"/>
  <c r="I257" i="13"/>
  <c r="J251" i="17"/>
  <c r="J188" i="17"/>
  <c r="J209" i="13"/>
  <c r="J193" i="13"/>
  <c r="J182" i="13"/>
  <c r="F12" i="14"/>
  <c r="F35" i="14"/>
  <c r="J154" i="18"/>
  <c r="J169" i="18"/>
  <c r="J168" i="18"/>
  <c r="G165" i="18"/>
  <c r="G166" i="18"/>
  <c r="I253" i="13"/>
  <c r="G140" i="13"/>
  <c r="I198" i="13" s="1"/>
  <c r="J271" i="13"/>
  <c r="H158" i="13"/>
  <c r="J267" i="13"/>
  <c r="H154" i="13"/>
  <c r="P52" i="4"/>
  <c r="J253" i="13"/>
  <c r="H140" i="13"/>
  <c r="G54" i="14"/>
  <c r="G59" i="14" s="1"/>
  <c r="G32" i="14"/>
  <c r="I156" i="14" s="1"/>
  <c r="G156" i="13"/>
  <c r="I215" i="13" s="1"/>
  <c r="I269" i="13"/>
  <c r="I270" i="13"/>
  <c r="G157" i="13"/>
  <c r="I216" i="13" s="1"/>
  <c r="J224" i="13"/>
  <c r="I250" i="13"/>
  <c r="G137" i="13"/>
  <c r="I195" i="13" s="1"/>
  <c r="I251" i="13"/>
  <c r="G138" i="13"/>
  <c r="I196" i="13" s="1"/>
  <c r="G160" i="13"/>
  <c r="I219" i="13" s="1"/>
  <c r="I273" i="13"/>
  <c r="I268" i="13"/>
  <c r="G155" i="13"/>
  <c r="I214" i="13" s="1"/>
  <c r="G11" i="5"/>
  <c r="C12" i="5" s="1"/>
  <c r="G33" i="13"/>
  <c r="F13" i="7"/>
  <c r="I39" i="6"/>
  <c r="H33" i="13"/>
  <c r="F175" i="10"/>
  <c r="F130" i="10"/>
  <c r="F145" i="10"/>
  <c r="F160" i="10"/>
  <c r="F37" i="10"/>
  <c r="J156" i="18"/>
  <c r="F174" i="10"/>
  <c r="F129" i="10"/>
  <c r="F144" i="10"/>
  <c r="F159" i="10"/>
  <c r="F36" i="10"/>
  <c r="J245" i="17"/>
  <c r="G158" i="13"/>
  <c r="I217" i="13" s="1"/>
  <c r="I271" i="13"/>
  <c r="G154" i="13"/>
  <c r="I213" i="13" s="1"/>
  <c r="I267" i="13"/>
  <c r="I246" i="17"/>
  <c r="I183" i="17"/>
  <c r="J207" i="13"/>
  <c r="J266" i="13"/>
  <c r="H153" i="13"/>
  <c r="J212" i="13" s="1"/>
  <c r="I250" i="17"/>
  <c r="I187" i="17"/>
  <c r="J251" i="13"/>
  <c r="H138" i="13"/>
  <c r="G159" i="14"/>
  <c r="G148" i="14"/>
  <c r="J197" i="13"/>
  <c r="I144" i="14"/>
  <c r="H32" i="14"/>
  <c r="J156" i="14" s="1"/>
  <c r="J268" i="13"/>
  <c r="H155" i="13"/>
  <c r="J214" i="13" s="1"/>
  <c r="J142" i="14"/>
  <c r="I154" i="18"/>
  <c r="I159" i="18" s="1"/>
  <c r="I168" i="18"/>
  <c r="I169" i="18"/>
  <c r="F42" i="18"/>
  <c r="F12" i="18"/>
  <c r="H285" i="13"/>
  <c r="J226" i="13"/>
  <c r="J204" i="13"/>
  <c r="J194" i="13"/>
  <c r="D141" i="10"/>
  <c r="D147" i="10" s="1"/>
  <c r="D156" i="10"/>
  <c r="D162" i="10" s="1"/>
  <c r="D171" i="10"/>
  <c r="D177" i="10" s="1"/>
  <c r="D33" i="10"/>
  <c r="D39" i="10" s="1"/>
  <c r="D126" i="10"/>
  <c r="D132" i="10" s="1"/>
  <c r="J184" i="17" l="1"/>
  <c r="J17" i="6"/>
  <c r="E169" i="14"/>
  <c r="C19" i="7" s="1"/>
  <c r="K17" i="6"/>
  <c r="B25" i="7"/>
  <c r="C165" i="10" s="1"/>
  <c r="C166" i="10" s="1"/>
  <c r="C167" i="10" s="1"/>
  <c r="J183" i="17"/>
  <c r="J253" i="17"/>
  <c r="J254" i="17"/>
  <c r="H61" i="14"/>
  <c r="J187" i="17"/>
  <c r="J250" i="17"/>
  <c r="K15" i="6" s="1"/>
  <c r="J260" i="17" s="1"/>
  <c r="J213" i="13"/>
  <c r="J203" i="13"/>
  <c r="J160" i="14"/>
  <c r="I160" i="14"/>
  <c r="E54" i="6"/>
  <c r="E55" i="6" s="1"/>
  <c r="E56" i="6" s="1"/>
  <c r="J140" i="14"/>
  <c r="G61" i="14"/>
  <c r="I141" i="14" s="1"/>
  <c r="E33" i="10"/>
  <c r="E39" i="10" s="1"/>
  <c r="E171" i="10"/>
  <c r="E177" i="10" s="1"/>
  <c r="E141" i="10"/>
  <c r="E147" i="10" s="1"/>
  <c r="E156" i="10"/>
  <c r="E162" i="10" s="1"/>
  <c r="E126" i="10"/>
  <c r="E132" i="10" s="1"/>
  <c r="F177" i="18"/>
  <c r="G52" i="6" s="1"/>
  <c r="G166" i="14"/>
  <c r="G12" i="6"/>
  <c r="F166" i="14"/>
  <c r="F169" i="14" s="1"/>
  <c r="F178" i="14" s="1"/>
  <c r="F180" i="14" s="1"/>
  <c r="G21" i="6"/>
  <c r="G42" i="6" s="1"/>
  <c r="G44" i="6" s="1"/>
  <c r="F290" i="13"/>
  <c r="F292" i="13" s="1"/>
  <c r="D18" i="7" s="1"/>
  <c r="I191" i="17"/>
  <c r="J34" i="6" s="1"/>
  <c r="F12" i="7"/>
  <c r="G129" i="10" s="1"/>
  <c r="J6" i="6"/>
  <c r="I259" i="17" s="1"/>
  <c r="G274" i="17"/>
  <c r="G276" i="17" s="1"/>
  <c r="J15" i="6"/>
  <c r="I260" i="17" s="1"/>
  <c r="H262" i="17"/>
  <c r="H274" i="17" s="1"/>
  <c r="H276" i="17" s="1"/>
  <c r="J196" i="13"/>
  <c r="E22" i="7"/>
  <c r="P43" i="4"/>
  <c r="O68" i="4"/>
  <c r="O66" i="4"/>
  <c r="D97" i="4" s="1"/>
  <c r="O45" i="4"/>
  <c r="G65" i="13"/>
  <c r="I200" i="13" s="1"/>
  <c r="I229" i="13" s="1"/>
  <c r="G10" i="13"/>
  <c r="H157" i="14"/>
  <c r="H158" i="14"/>
  <c r="G42" i="18"/>
  <c r="G12" i="18"/>
  <c r="J195" i="13"/>
  <c r="J215" i="13"/>
  <c r="E186" i="18"/>
  <c r="E188" i="18" s="1"/>
  <c r="C23" i="7"/>
  <c r="F52" i="6"/>
  <c r="J285" i="13"/>
  <c r="H282" i="13"/>
  <c r="H283" i="13"/>
  <c r="G13" i="7"/>
  <c r="J39" i="6"/>
  <c r="D12" i="5"/>
  <c r="G35" i="14"/>
  <c r="G12" i="14"/>
  <c r="Q49" i="4"/>
  <c r="J159" i="18"/>
  <c r="F8" i="7"/>
  <c r="I36" i="6"/>
  <c r="H42" i="18"/>
  <c r="H12" i="18"/>
  <c r="E6" i="9"/>
  <c r="G65" i="4"/>
  <c r="F13" i="8" s="1"/>
  <c r="F15" i="8" s="1"/>
  <c r="G52" i="4"/>
  <c r="H16" i="6"/>
  <c r="H35" i="14"/>
  <c r="H12" i="14"/>
  <c r="G130" i="10"/>
  <c r="G37" i="10"/>
  <c r="G145" i="10"/>
  <c r="G160" i="10"/>
  <c r="G175" i="10"/>
  <c r="J217" i="13"/>
  <c r="S64" i="4"/>
  <c r="J219" i="13"/>
  <c r="J216" i="13"/>
  <c r="I284" i="13"/>
  <c r="F170" i="10"/>
  <c r="F125" i="10"/>
  <c r="F140" i="10"/>
  <c r="F155" i="10"/>
  <c r="F32" i="10"/>
  <c r="H10" i="13"/>
  <c r="H65" i="13"/>
  <c r="J200" i="13" s="1"/>
  <c r="H165" i="18"/>
  <c r="H166" i="18"/>
  <c r="E9" i="7"/>
  <c r="E15" i="7" s="1"/>
  <c r="H37" i="6"/>
  <c r="H41" i="6" s="1"/>
  <c r="J198" i="13"/>
  <c r="H18" i="6"/>
  <c r="I9" i="6" s="1"/>
  <c r="H159" i="14"/>
  <c r="H148" i="14"/>
  <c r="G289" i="13"/>
  <c r="H12" i="6"/>
  <c r="J284" i="13"/>
  <c r="I285" i="13"/>
  <c r="J218" i="13"/>
  <c r="C180" i="10" l="1"/>
  <c r="C181" i="10" s="1"/>
  <c r="C182" i="10" s="1"/>
  <c r="J191" i="17"/>
  <c r="K34" i="6" s="1"/>
  <c r="C135" i="10"/>
  <c r="C136" i="10" s="1"/>
  <c r="C137" i="10" s="1"/>
  <c r="F50" i="6"/>
  <c r="F54" i="6" s="1"/>
  <c r="F55" i="6" s="1"/>
  <c r="D11" i="9" s="1"/>
  <c r="D27" i="9" s="1"/>
  <c r="E178" i="14"/>
  <c r="E180" i="14" s="1"/>
  <c r="C41" i="10"/>
  <c r="C43" i="10" s="1"/>
  <c r="C47" i="10" s="1"/>
  <c r="B38" i="7"/>
  <c r="B40" i="7" s="1"/>
  <c r="B45" i="7" s="1"/>
  <c r="C22" i="9"/>
  <c r="C150" i="10"/>
  <c r="C151" i="10" s="1"/>
  <c r="C152" i="10" s="1"/>
  <c r="F186" i="18"/>
  <c r="F188" i="18" s="1"/>
  <c r="C11" i="9"/>
  <c r="C27" i="9" s="1"/>
  <c r="C28" i="9" s="1"/>
  <c r="K28" i="9" s="1"/>
  <c r="J141" i="14"/>
  <c r="D23" i="7"/>
  <c r="F302" i="13"/>
  <c r="F305" i="13" s="1"/>
  <c r="G12" i="7"/>
  <c r="H36" i="10" s="1"/>
  <c r="G159" i="10"/>
  <c r="G167" i="14"/>
  <c r="G169" i="14" s="1"/>
  <c r="E19" i="7" s="1"/>
  <c r="G175" i="18"/>
  <c r="G177" i="18" s="1"/>
  <c r="G186" i="18" s="1"/>
  <c r="G188" i="18" s="1"/>
  <c r="G49" i="6"/>
  <c r="G50" i="6"/>
  <c r="D19" i="7"/>
  <c r="K6" i="6"/>
  <c r="J259" i="17" s="1"/>
  <c r="J262" i="17" s="1"/>
  <c r="C25" i="7"/>
  <c r="D180" i="10" s="1"/>
  <c r="D181" i="10" s="1"/>
  <c r="D182" i="10" s="1"/>
  <c r="G144" i="10"/>
  <c r="I47" i="6"/>
  <c r="G36" i="10"/>
  <c r="G174" i="10"/>
  <c r="H12" i="7"/>
  <c r="I129" i="10" s="1"/>
  <c r="F22" i="7"/>
  <c r="I8" i="6"/>
  <c r="H174" i="18" s="1"/>
  <c r="J229" i="13"/>
  <c r="H8" i="7" s="1"/>
  <c r="P44" i="4"/>
  <c r="P65" i="4"/>
  <c r="O67" i="4"/>
  <c r="F6" i="9"/>
  <c r="J165" i="18"/>
  <c r="J166" i="18"/>
  <c r="G290" i="13"/>
  <c r="G292" i="13" s="1"/>
  <c r="I7" i="6"/>
  <c r="H21" i="6"/>
  <c r="H42" i="6" s="1"/>
  <c r="H44" i="6" s="1"/>
  <c r="H13" i="7"/>
  <c r="K39" i="6"/>
  <c r="I282" i="13"/>
  <c r="I283" i="13"/>
  <c r="I16" i="6"/>
  <c r="F171" i="10"/>
  <c r="F177" i="10" s="1"/>
  <c r="F126" i="10"/>
  <c r="F132" i="10" s="1"/>
  <c r="F141" i="10"/>
  <c r="F147" i="10" s="1"/>
  <c r="F156" i="10"/>
  <c r="F162" i="10" s="1"/>
  <c r="F33" i="10"/>
  <c r="F39" i="10" s="1"/>
  <c r="I159" i="14"/>
  <c r="I148" i="14"/>
  <c r="H145" i="10"/>
  <c r="H160" i="10"/>
  <c r="H175" i="10"/>
  <c r="H130" i="10"/>
  <c r="H37" i="10"/>
  <c r="G8" i="7"/>
  <c r="J36" i="6"/>
  <c r="I165" i="18"/>
  <c r="I166" i="18"/>
  <c r="F9" i="7"/>
  <c r="F15" i="7" s="1"/>
  <c r="I37" i="6"/>
  <c r="I41" i="6" s="1"/>
  <c r="I18" i="6"/>
  <c r="J9" i="6" s="1"/>
  <c r="J159" i="14"/>
  <c r="I157" i="14"/>
  <c r="I158" i="14"/>
  <c r="J282" i="13"/>
  <c r="J283" i="13"/>
  <c r="I262" i="17"/>
  <c r="J157" i="14"/>
  <c r="J158" i="14"/>
  <c r="H49" i="4"/>
  <c r="G68" i="4"/>
  <c r="G125" i="10"/>
  <c r="G32" i="10"/>
  <c r="G140" i="10"/>
  <c r="G155" i="10"/>
  <c r="G170" i="10"/>
  <c r="Q50" i="4"/>
  <c r="Q52" i="4" s="1"/>
  <c r="E12" i="5"/>
  <c r="D11" i="2"/>
  <c r="D12" i="2" s="1"/>
  <c r="J41" i="7"/>
  <c r="J148" i="14" l="1"/>
  <c r="K37" i="6" s="1"/>
  <c r="G178" i="14"/>
  <c r="G180" i="14" s="1"/>
  <c r="H144" i="10"/>
  <c r="D28" i="9"/>
  <c r="L28" i="9" s="1"/>
  <c r="D25" i="7"/>
  <c r="E135" i="10" s="1"/>
  <c r="E136" i="10" s="1"/>
  <c r="E137" i="10" s="1"/>
  <c r="H129" i="10"/>
  <c r="H174" i="10"/>
  <c r="H159" i="10"/>
  <c r="J8" i="6"/>
  <c r="I174" i="18" s="1"/>
  <c r="H175" i="18"/>
  <c r="H177" i="18" s="1"/>
  <c r="H186" i="18" s="1"/>
  <c r="H188" i="18" s="1"/>
  <c r="H50" i="6"/>
  <c r="G54" i="6"/>
  <c r="G55" i="6" s="1"/>
  <c r="E11" i="9" s="1"/>
  <c r="E27" i="9" s="1"/>
  <c r="H166" i="14"/>
  <c r="D12" i="9"/>
  <c r="E23" i="7"/>
  <c r="H52" i="6"/>
  <c r="H167" i="14"/>
  <c r="D150" i="10"/>
  <c r="D151" i="10" s="1"/>
  <c r="D152" i="10" s="1"/>
  <c r="C38" i="7"/>
  <c r="C40" i="7" s="1"/>
  <c r="D165" i="10"/>
  <c r="D166" i="10" s="1"/>
  <c r="D167" i="10" s="1"/>
  <c r="I174" i="10"/>
  <c r="I36" i="10"/>
  <c r="I159" i="10"/>
  <c r="K36" i="6"/>
  <c r="I144" i="10"/>
  <c r="D135" i="10"/>
  <c r="D136" i="10" s="1"/>
  <c r="D137" i="10" s="1"/>
  <c r="D22" i="9"/>
  <c r="D41" i="10"/>
  <c r="D43" i="10" s="1"/>
  <c r="D47" i="10" s="1"/>
  <c r="J175" i="18"/>
  <c r="I175" i="18"/>
  <c r="J16" i="6"/>
  <c r="I290" i="13" s="1"/>
  <c r="P46" i="4"/>
  <c r="P66" i="4"/>
  <c r="E97" i="4" s="1"/>
  <c r="P45" i="4"/>
  <c r="R49" i="4"/>
  <c r="C83" i="10"/>
  <c r="C15" i="10"/>
  <c r="C94" i="10"/>
  <c r="C71" i="10"/>
  <c r="D22" i="10"/>
  <c r="E21" i="2"/>
  <c r="G126" i="10"/>
  <c r="G132" i="10" s="1"/>
  <c r="G33" i="10"/>
  <c r="G39" i="10" s="1"/>
  <c r="G141" i="10"/>
  <c r="G147" i="10" s="1"/>
  <c r="G156" i="10"/>
  <c r="G162" i="10" s="1"/>
  <c r="G171" i="10"/>
  <c r="G177" i="10" s="1"/>
  <c r="H140" i="10"/>
  <c r="H155" i="10"/>
  <c r="H170" i="10"/>
  <c r="H32" i="10"/>
  <c r="H125" i="10"/>
  <c r="K16" i="6"/>
  <c r="H9" i="7"/>
  <c r="H290" i="13"/>
  <c r="J7" i="6"/>
  <c r="I21" i="6"/>
  <c r="I42" i="6" s="1"/>
  <c r="I44" i="6" s="1"/>
  <c r="K18" i="6"/>
  <c r="Q51" i="4"/>
  <c r="H52" i="4"/>
  <c r="H65" i="4"/>
  <c r="G13" i="8" s="1"/>
  <c r="G15" i="8" s="1"/>
  <c r="G6" i="9"/>
  <c r="J274" i="17"/>
  <c r="J276" i="17" s="1"/>
  <c r="H22" i="7"/>
  <c r="K47" i="6"/>
  <c r="G12" i="5"/>
  <c r="C13" i="5" s="1"/>
  <c r="I274" i="17"/>
  <c r="I276" i="17" s="1"/>
  <c r="G22" i="7"/>
  <c r="J47" i="6"/>
  <c r="J18" i="6"/>
  <c r="K9" i="6" s="1"/>
  <c r="H289" i="13"/>
  <c r="I12" i="6"/>
  <c r="G9" i="7"/>
  <c r="G15" i="7" s="1"/>
  <c r="J37" i="6"/>
  <c r="J41" i="6" s="1"/>
  <c r="I160" i="10"/>
  <c r="I175" i="10"/>
  <c r="I37" i="10"/>
  <c r="I145" i="10"/>
  <c r="I130" i="10"/>
  <c r="G302" i="13"/>
  <c r="G305" i="13" s="1"/>
  <c r="H49" i="6"/>
  <c r="E18" i="7"/>
  <c r="I155" i="10"/>
  <c r="I170" i="10"/>
  <c r="I125" i="10"/>
  <c r="I140" i="10"/>
  <c r="I32" i="10"/>
  <c r="E28" i="9" l="1"/>
  <c r="M28" i="9" s="1"/>
  <c r="E41" i="10"/>
  <c r="E43" i="10" s="1"/>
  <c r="E47" i="10" s="1"/>
  <c r="E180" i="10"/>
  <c r="E181" i="10" s="1"/>
  <c r="E182" i="10" s="1"/>
  <c r="E165" i="10"/>
  <c r="E166" i="10" s="1"/>
  <c r="E167" i="10" s="1"/>
  <c r="D38" i="7"/>
  <c r="D40" i="7" s="1"/>
  <c r="E150" i="10"/>
  <c r="E151" i="10" s="1"/>
  <c r="E152" i="10" s="1"/>
  <c r="E22" i="9"/>
  <c r="H169" i="14"/>
  <c r="F19" i="7" s="1"/>
  <c r="I166" i="14"/>
  <c r="E12" i="9"/>
  <c r="H54" i="6"/>
  <c r="H55" i="6" s="1"/>
  <c r="F11" i="9" s="1"/>
  <c r="F12" i="9" s="1"/>
  <c r="C45" i="7"/>
  <c r="E25" i="7"/>
  <c r="F150" i="10" s="1"/>
  <c r="F151" i="10" s="1"/>
  <c r="F152" i="10" s="1"/>
  <c r="K41" i="6"/>
  <c r="K8" i="6"/>
  <c r="I167" i="14"/>
  <c r="J167" i="14"/>
  <c r="I52" i="6"/>
  <c r="F23" i="7"/>
  <c r="K7" i="6"/>
  <c r="J289" i="13" s="1"/>
  <c r="Q43" i="4"/>
  <c r="P68" i="4"/>
  <c r="P67" i="4"/>
  <c r="I289" i="13"/>
  <c r="I292" i="13" s="1"/>
  <c r="J12" i="6"/>
  <c r="H6" i="9"/>
  <c r="C7" i="9"/>
  <c r="C12" i="9" s="1"/>
  <c r="B33" i="8"/>
  <c r="E22" i="2"/>
  <c r="H141" i="10"/>
  <c r="H147" i="10" s="1"/>
  <c r="H156" i="10"/>
  <c r="H162" i="10" s="1"/>
  <c r="H171" i="10"/>
  <c r="H177" i="10" s="1"/>
  <c r="H126" i="10"/>
  <c r="H132" i="10" s="1"/>
  <c r="H33" i="10"/>
  <c r="H39" i="10" s="1"/>
  <c r="J21" i="6"/>
  <c r="J42" i="6" s="1"/>
  <c r="J44" i="6" s="1"/>
  <c r="J290" i="13"/>
  <c r="K21" i="6"/>
  <c r="K42" i="6" s="1"/>
  <c r="R50" i="4"/>
  <c r="I156" i="10"/>
  <c r="I162" i="10" s="1"/>
  <c r="I171" i="10"/>
  <c r="I177" i="10" s="1"/>
  <c r="I33" i="10"/>
  <c r="I39" i="10" s="1"/>
  <c r="I141" i="10"/>
  <c r="I147" i="10" s="1"/>
  <c r="I126" i="10"/>
  <c r="I132" i="10" s="1"/>
  <c r="H292" i="13"/>
  <c r="H15" i="7"/>
  <c r="D13" i="5"/>
  <c r="H68" i="4"/>
  <c r="I49" i="4"/>
  <c r="I177" i="18"/>
  <c r="H19" i="2" l="1"/>
  <c r="H20" i="2"/>
  <c r="H21" i="2"/>
  <c r="H178" i="14"/>
  <c r="H180" i="14" s="1"/>
  <c r="D45" i="7"/>
  <c r="I50" i="6"/>
  <c r="F27" i="9"/>
  <c r="I169" i="14"/>
  <c r="G19" i="7" s="1"/>
  <c r="F135" i="10"/>
  <c r="F136" i="10" s="1"/>
  <c r="F137" i="10" s="1"/>
  <c r="J174" i="18"/>
  <c r="J177" i="18" s="1"/>
  <c r="F180" i="10"/>
  <c r="F181" i="10" s="1"/>
  <c r="F182" i="10" s="1"/>
  <c r="F41" i="10"/>
  <c r="F43" i="10" s="1"/>
  <c r="F47" i="10" s="1"/>
  <c r="J166" i="14"/>
  <c r="J169" i="14" s="1"/>
  <c r="K50" i="6" s="1"/>
  <c r="K44" i="6"/>
  <c r="E38" i="7"/>
  <c r="E40" i="7" s="1"/>
  <c r="F165" i="10"/>
  <c r="F166" i="10" s="1"/>
  <c r="F167" i="10" s="1"/>
  <c r="F22" i="9"/>
  <c r="K12" i="6"/>
  <c r="Q44" i="4"/>
  <c r="Q46" i="4" s="1"/>
  <c r="Q65" i="4"/>
  <c r="I302" i="13"/>
  <c r="I305" i="13" s="1"/>
  <c r="G18" i="7"/>
  <c r="J49" i="6"/>
  <c r="I6" i="9"/>
  <c r="J292" i="13"/>
  <c r="R51" i="4"/>
  <c r="I186" i="18"/>
  <c r="I188" i="18" s="1"/>
  <c r="G23" i="7"/>
  <c r="J52" i="6"/>
  <c r="I52" i="4"/>
  <c r="I68" i="4" s="1"/>
  <c r="I65" i="4"/>
  <c r="H13" i="8" s="1"/>
  <c r="H15" i="8" s="1"/>
  <c r="C33" i="8"/>
  <c r="E13" i="5"/>
  <c r="H302" i="13"/>
  <c r="H305" i="13" s="1"/>
  <c r="F18" i="7"/>
  <c r="F25" i="7" s="1"/>
  <c r="I49" i="6"/>
  <c r="R52" i="4"/>
  <c r="I178" i="14" l="1"/>
  <c r="I180" i="14" s="1"/>
  <c r="F28" i="9"/>
  <c r="N28" i="9" s="1"/>
  <c r="I54" i="6"/>
  <c r="I55" i="6" s="1"/>
  <c r="G11" i="9" s="1"/>
  <c r="G12" i="9" s="1"/>
  <c r="J50" i="6"/>
  <c r="J54" i="6" s="1"/>
  <c r="J55" i="6" s="1"/>
  <c r="H11" i="9" s="1"/>
  <c r="K52" i="6"/>
  <c r="J186" i="18"/>
  <c r="J188" i="18" s="1"/>
  <c r="H23" i="7"/>
  <c r="H19" i="7"/>
  <c r="J178" i="14"/>
  <c r="J180" i="14" s="1"/>
  <c r="E45" i="7"/>
  <c r="R43" i="4"/>
  <c r="Q68" i="4"/>
  <c r="Q66" i="4"/>
  <c r="F97" i="4" s="1"/>
  <c r="Q45" i="4"/>
  <c r="G150" i="10"/>
  <c r="G151" i="10" s="1"/>
  <c r="G152" i="10" s="1"/>
  <c r="G165" i="10"/>
  <c r="G166" i="10" s="1"/>
  <c r="G167" i="10" s="1"/>
  <c r="G180" i="10"/>
  <c r="G181" i="10" s="1"/>
  <c r="G182" i="10" s="1"/>
  <c r="G41" i="10"/>
  <c r="G43" i="10" s="1"/>
  <c r="G47" i="10" s="1"/>
  <c r="G22" i="9"/>
  <c r="G135" i="10"/>
  <c r="G136" i="10" s="1"/>
  <c r="G137" i="10" s="1"/>
  <c r="F38" i="7"/>
  <c r="F40" i="7" s="1"/>
  <c r="G13" i="5"/>
  <c r="C14" i="5" s="1"/>
  <c r="G25" i="7"/>
  <c r="J302" i="13"/>
  <c r="J305" i="13" s="1"/>
  <c r="H18" i="7"/>
  <c r="K49" i="6"/>
  <c r="S49" i="4"/>
  <c r="D33" i="8"/>
  <c r="G27" i="9" l="1"/>
  <c r="G28" i="9" s="1"/>
  <c r="O28" i="9" s="1"/>
  <c r="K54" i="6"/>
  <c r="K55" i="6" s="1"/>
  <c r="I11" i="9" s="1"/>
  <c r="I27" i="9" s="1"/>
  <c r="H25" i="7"/>
  <c r="I41" i="10" s="1"/>
  <c r="I43" i="10" s="1"/>
  <c r="I47" i="10" s="1"/>
  <c r="R44" i="4"/>
  <c r="R65" i="4"/>
  <c r="Q67" i="4"/>
  <c r="E33" i="8"/>
  <c r="H27" i="9"/>
  <c r="H12" i="9"/>
  <c r="S50" i="4"/>
  <c r="H165" i="10"/>
  <c r="H166" i="10" s="1"/>
  <c r="H167" i="10" s="1"/>
  <c r="H180" i="10"/>
  <c r="H181" i="10" s="1"/>
  <c r="H182" i="10" s="1"/>
  <c r="H22" i="9"/>
  <c r="G38" i="7"/>
  <c r="G40" i="7" s="1"/>
  <c r="H150" i="10"/>
  <c r="H151" i="10" s="1"/>
  <c r="H152" i="10" s="1"/>
  <c r="H135" i="10"/>
  <c r="H136" i="10" s="1"/>
  <c r="H137" i="10" s="1"/>
  <c r="H41" i="10"/>
  <c r="H43" i="10" s="1"/>
  <c r="H47" i="10" s="1"/>
  <c r="F45" i="7"/>
  <c r="D14" i="5"/>
  <c r="H28" i="9" l="1"/>
  <c r="P28" i="9" s="1"/>
  <c r="I28" i="9"/>
  <c r="Q28" i="9" s="1"/>
  <c r="I12" i="9"/>
  <c r="I150" i="10"/>
  <c r="I151" i="10" s="1"/>
  <c r="I152" i="10" s="1"/>
  <c r="I180" i="10"/>
  <c r="I181" i="10" s="1"/>
  <c r="I182" i="10" s="1"/>
  <c r="I165" i="10"/>
  <c r="I166" i="10" s="1"/>
  <c r="I167" i="10" s="1"/>
  <c r="C49" i="10"/>
  <c r="D28" i="2" s="1"/>
  <c r="I22" i="9"/>
  <c r="I135" i="10"/>
  <c r="I136" i="10" s="1"/>
  <c r="I137" i="10" s="1"/>
  <c r="H38" i="7"/>
  <c r="H40" i="7" s="1"/>
  <c r="R46" i="4"/>
  <c r="R66" i="4"/>
  <c r="G97" i="4" s="1"/>
  <c r="R45" i="4"/>
  <c r="S51" i="4"/>
  <c r="G45" i="7"/>
  <c r="S52" i="4"/>
  <c r="E14" i="5"/>
  <c r="F33" i="8"/>
  <c r="H45" i="7" l="1"/>
  <c r="S43" i="4"/>
  <c r="R68" i="4"/>
  <c r="R67" i="4"/>
  <c r="G14" i="5"/>
  <c r="C15" i="5" s="1"/>
  <c r="G33" i="8"/>
  <c r="S44" i="4" l="1"/>
  <c r="S65" i="4"/>
  <c r="D15" i="5"/>
  <c r="H33" i="8"/>
  <c r="E15" i="5" l="1"/>
  <c r="G15" i="5" s="1"/>
  <c r="C16" i="5" s="1"/>
  <c r="D16" i="5" s="1"/>
  <c r="E16" i="5" s="1"/>
  <c r="G16" i="5" s="1"/>
  <c r="C17" i="5" s="1"/>
  <c r="S46" i="4"/>
  <c r="S68" i="4" s="1"/>
  <c r="S66" i="4"/>
  <c r="H97" i="4" s="1"/>
  <c r="S45" i="4"/>
  <c r="S67" i="4" s="1"/>
  <c r="D17" i="5" l="1"/>
  <c r="E17" i="5" s="1"/>
  <c r="G17" i="5" s="1"/>
  <c r="C18" i="5" s="1"/>
  <c r="D18" i="5" l="1"/>
  <c r="E18" i="5" s="1"/>
  <c r="G18" i="5" s="1"/>
  <c r="C19" i="5" s="1"/>
  <c r="D19" i="5" l="1"/>
  <c r="E19" i="5" s="1"/>
  <c r="G19" i="5" s="1"/>
  <c r="C20" i="5" s="1"/>
  <c r="D20" i="5" l="1"/>
  <c r="E20" i="5" s="1"/>
  <c r="G20" i="5" s="1"/>
  <c r="C21" i="5" s="1"/>
  <c r="D21" i="5" l="1"/>
  <c r="I21" i="5" s="1"/>
  <c r="O10" i="5" s="1"/>
  <c r="E21" i="5" l="1"/>
  <c r="H21" i="5" s="1"/>
  <c r="N10" i="5" s="1"/>
  <c r="C26" i="9"/>
  <c r="C25" i="9" l="1"/>
  <c r="G21" i="5"/>
  <c r="M10" i="5" s="1"/>
  <c r="B47" i="7"/>
  <c r="B49" i="7" s="1"/>
  <c r="C109" i="10" s="1"/>
  <c r="C112" i="10"/>
  <c r="C113" i="10" l="1"/>
  <c r="C115" i="10"/>
  <c r="K26" i="9"/>
  <c r="J40" i="7"/>
  <c r="J42" i="7" s="1"/>
  <c r="B95" i="4"/>
  <c r="B98" i="4" s="1"/>
  <c r="B99" i="4" s="1"/>
  <c r="B50" i="7" s="1"/>
  <c r="C29" i="9" s="1"/>
  <c r="C30" i="9" s="1"/>
  <c r="C31" i="9" s="1"/>
  <c r="C33" i="9" s="1"/>
  <c r="B28" i="8"/>
  <c r="B31" i="8" s="1"/>
  <c r="C22" i="5"/>
  <c r="C117" i="10" l="1"/>
  <c r="B8" i="8"/>
  <c r="B11" i="8" s="1"/>
  <c r="B20" i="8" s="1"/>
  <c r="D32" i="9"/>
  <c r="B51" i="7"/>
  <c r="D22" i="5"/>
  <c r="E22" i="5" l="1"/>
  <c r="D95" i="10"/>
  <c r="D98" i="10" s="1"/>
  <c r="D99" i="10" s="1"/>
  <c r="C80" i="10"/>
  <c r="B53" i="7"/>
  <c r="D9" i="10"/>
  <c r="D14" i="10" s="1"/>
  <c r="C58" i="10"/>
  <c r="C63" i="10" s="1"/>
  <c r="C67" i="10" s="1"/>
  <c r="D15" i="10" l="1"/>
  <c r="G22" i="5"/>
  <c r="C23" i="5" s="1"/>
  <c r="B37" i="8"/>
  <c r="B39" i="8" s="1"/>
  <c r="D23" i="5" l="1"/>
  <c r="C36" i="8"/>
  <c r="B41" i="8"/>
  <c r="B43" i="8" s="1"/>
  <c r="B46" i="8" s="1"/>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I33" i="5" s="1"/>
  <c r="O11" i="5" s="1"/>
  <c r="E33" i="5" l="1"/>
  <c r="H33" i="5" s="1"/>
  <c r="N11" i="5" s="1"/>
  <c r="D26" i="9"/>
  <c r="D112" i="10" l="1"/>
  <c r="C47" i="7"/>
  <c r="C49" i="7" s="1"/>
  <c r="D109" i="10" s="1"/>
  <c r="D25" i="9"/>
  <c r="L26" i="9" s="1"/>
  <c r="G33" i="5"/>
  <c r="M11" i="5" s="1"/>
  <c r="D113" i="10" l="1"/>
  <c r="C28" i="8"/>
  <c r="C31" i="8" s="1"/>
  <c r="C34" i="5"/>
  <c r="D115" i="10"/>
  <c r="C95" i="4"/>
  <c r="C98" i="4" s="1"/>
  <c r="C99" i="4" s="1"/>
  <c r="C50" i="7" s="1"/>
  <c r="D29" i="9" s="1"/>
  <c r="D30" i="9" s="1"/>
  <c r="D31" i="9" s="1"/>
  <c r="D33" i="9" s="1"/>
  <c r="D117" i="10" l="1"/>
  <c r="C8" i="8"/>
  <c r="C11" i="8" s="1"/>
  <c r="C20" i="8" s="1"/>
  <c r="E32" i="9"/>
  <c r="D34" i="5"/>
  <c r="C51" i="7"/>
  <c r="D58" i="10" l="1"/>
  <c r="D63" i="10" s="1"/>
  <c r="D67" i="10" s="1"/>
  <c r="E9" i="10"/>
  <c r="E14" i="10" s="1"/>
  <c r="C37" i="8"/>
  <c r="C39" i="8" s="1"/>
  <c r="E95" i="10"/>
  <c r="E98" i="10" s="1"/>
  <c r="E99" i="10" s="1"/>
  <c r="D80" i="10"/>
  <c r="C53" i="7"/>
  <c r="E34" i="5"/>
  <c r="G34" i="5" l="1"/>
  <c r="C35" i="5" s="1"/>
  <c r="D36" i="8"/>
  <c r="C41" i="8"/>
  <c r="C43" i="8" s="1"/>
  <c r="C46" i="8" s="1"/>
  <c r="E15" i="10"/>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I45" i="5" s="1"/>
  <c r="O12" i="5" l="1"/>
  <c r="O13" i="5"/>
  <c r="E45" i="5"/>
  <c r="H45" i="5" s="1"/>
  <c r="E26" i="9"/>
  <c r="N13" i="5" l="1"/>
  <c r="N12" i="5"/>
  <c r="E112" i="10"/>
  <c r="D47" i="7"/>
  <c r="D49" i="7" s="1"/>
  <c r="E109" i="10" s="1"/>
  <c r="E25" i="9"/>
  <c r="M26" i="9" s="1"/>
  <c r="G45" i="5"/>
  <c r="C46" i="5" s="1"/>
  <c r="E113" i="10" l="1"/>
  <c r="M12" i="5"/>
  <c r="M13" i="5"/>
  <c r="D28" i="8"/>
  <c r="D31" i="8" s="1"/>
  <c r="E115" i="10"/>
  <c r="D95" i="4"/>
  <c r="D98" i="4" s="1"/>
  <c r="D99" i="4" s="1"/>
  <c r="D50" i="7" s="1"/>
  <c r="E29" i="9" s="1"/>
  <c r="E30" i="9" s="1"/>
  <c r="E31" i="9" s="1"/>
  <c r="E33" i="9" s="1"/>
  <c r="E117" i="10" l="1"/>
  <c r="F32" i="9"/>
  <c r="D8" i="8"/>
  <c r="D11" i="8" s="1"/>
  <c r="D20" i="8" s="1"/>
  <c r="D46" i="5"/>
  <c r="D51" i="7"/>
  <c r="E46" i="5" l="1"/>
  <c r="E58" i="10"/>
  <c r="E63" i="10" s="1"/>
  <c r="E67" i="10" s="1"/>
  <c r="D37" i="8"/>
  <c r="D39" i="8" s="1"/>
  <c r="F95" i="10"/>
  <c r="F98" i="10" s="1"/>
  <c r="F99" i="10" s="1"/>
  <c r="E80" i="10"/>
  <c r="F9" i="10"/>
  <c r="F14" i="10" s="1"/>
  <c r="D53" i="7"/>
  <c r="F15" i="10" l="1"/>
  <c r="E36" i="8"/>
  <c r="D41" i="8"/>
  <c r="D43" i="8" s="1"/>
  <c r="D46" i="8" s="1"/>
  <c r="G46" i="5"/>
  <c r="C47" i="5"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I57" i="5" s="1"/>
  <c r="O14" i="5" s="1"/>
  <c r="E57" i="5" l="1"/>
  <c r="H57" i="5" s="1"/>
  <c r="N14" i="5" s="1"/>
  <c r="F26" i="9"/>
  <c r="E47" i="7" l="1"/>
  <c r="E49" i="7" s="1"/>
  <c r="F109" i="10" s="1"/>
  <c r="F112" i="10"/>
  <c r="F25" i="9"/>
  <c r="N26" i="9" s="1"/>
  <c r="G57" i="5"/>
  <c r="M14" i="5" s="1"/>
  <c r="F113" i="10" l="1"/>
  <c r="E28" i="8"/>
  <c r="E31" i="8" s="1"/>
  <c r="C58" i="5"/>
  <c r="F115" i="10"/>
  <c r="E95" i="4"/>
  <c r="E98" i="4" s="1"/>
  <c r="E99" i="4" s="1"/>
  <c r="E50" i="7" s="1"/>
  <c r="F29" i="9" s="1"/>
  <c r="F30" i="9" s="1"/>
  <c r="F31" i="9" s="1"/>
  <c r="F33" i="9" s="1"/>
  <c r="F117" i="10" l="1"/>
  <c r="C119" i="10" s="1"/>
  <c r="E8" i="8"/>
  <c r="E11" i="8" s="1"/>
  <c r="E20" i="8" s="1"/>
  <c r="G32" i="9"/>
  <c r="E51" i="7"/>
  <c r="D58" i="5"/>
  <c r="E58" i="5" l="1"/>
  <c r="G95" i="10"/>
  <c r="G98" i="10" s="1"/>
  <c r="G99" i="10" s="1"/>
  <c r="E37" i="8"/>
  <c r="E39" i="8" s="1"/>
  <c r="F80" i="10"/>
  <c r="G9" i="10"/>
  <c r="G14" i="10" s="1"/>
  <c r="F58" i="10"/>
  <c r="F63" i="10" s="1"/>
  <c r="F67" i="10" s="1"/>
  <c r="E53" i="7"/>
  <c r="F36" i="8" l="1"/>
  <c r="E41" i="8"/>
  <c r="E43" i="8" s="1"/>
  <c r="E46" i="8" s="1"/>
  <c r="G15" i="10"/>
  <c r="G58" i="5"/>
  <c r="C59" i="5"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I69" i="5" s="1"/>
  <c r="O15" i="5" s="1"/>
  <c r="E69" i="5" l="1"/>
  <c r="H69" i="5" s="1"/>
  <c r="N15" i="5" s="1"/>
  <c r="G26" i="9"/>
  <c r="F47" i="7" l="1"/>
  <c r="F49" i="7" s="1"/>
  <c r="G109" i="10" s="1"/>
  <c r="G112" i="10"/>
  <c r="G25" i="9"/>
  <c r="O26" i="9" s="1"/>
  <c r="G69" i="5"/>
  <c r="M15" i="5" s="1"/>
  <c r="G113" i="10" l="1"/>
  <c r="G115" i="10"/>
  <c r="F28" i="8"/>
  <c r="F31" i="8" s="1"/>
  <c r="C70" i="5"/>
  <c r="F95" i="4"/>
  <c r="F98" i="4" s="1"/>
  <c r="F99" i="4" s="1"/>
  <c r="F50" i="7" s="1"/>
  <c r="G29" i="9" s="1"/>
  <c r="G30" i="9" s="1"/>
  <c r="G31" i="9" s="1"/>
  <c r="G33" i="9" s="1"/>
  <c r="G117" i="10" l="1"/>
  <c r="F8" i="8"/>
  <c r="F11" i="8" s="1"/>
  <c r="F20" i="8" s="1"/>
  <c r="H32" i="9"/>
  <c r="F51" i="7"/>
  <c r="D70" i="5"/>
  <c r="H95" i="10" l="1"/>
  <c r="H98" i="10" s="1"/>
  <c r="G80" i="10"/>
  <c r="H9" i="10"/>
  <c r="H14" i="10" s="1"/>
  <c r="G58" i="10"/>
  <c r="G63" i="10" s="1"/>
  <c r="G67" i="10" s="1"/>
  <c r="F37" i="8"/>
  <c r="F39" i="8" s="1"/>
  <c r="F53" i="7"/>
  <c r="E70" i="5"/>
  <c r="G70" i="5" l="1"/>
  <c r="C71" i="5" s="1"/>
  <c r="D101" i="10"/>
  <c r="D32" i="2" s="1"/>
  <c r="H99" i="10"/>
  <c r="H15" i="10"/>
  <c r="G36" i="8"/>
  <c r="F41" i="8"/>
  <c r="F43" i="8" s="1"/>
  <c r="F46" i="8"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I81" i="5" s="1"/>
  <c r="O16" i="5" s="1"/>
  <c r="E81" i="5" l="1"/>
  <c r="H81" i="5" s="1"/>
  <c r="N16" i="5" s="1"/>
  <c r="H26" i="9"/>
  <c r="H112" i="10" l="1"/>
  <c r="G47" i="7"/>
  <c r="G49" i="7" s="1"/>
  <c r="H109" i="10" s="1"/>
  <c r="H25" i="9"/>
  <c r="P26" i="9" s="1"/>
  <c r="G81" i="5"/>
  <c r="M16" i="5" s="1"/>
  <c r="H113" i="10" l="1"/>
  <c r="H115" i="10"/>
  <c r="G95" i="4"/>
  <c r="G98" i="4" s="1"/>
  <c r="G99" i="4" s="1"/>
  <c r="G50" i="7" s="1"/>
  <c r="H29" i="9" s="1"/>
  <c r="H30" i="9" s="1"/>
  <c r="H31" i="9" s="1"/>
  <c r="H33" i="9" s="1"/>
  <c r="G28" i="8"/>
  <c r="G31" i="8" s="1"/>
  <c r="C82" i="5"/>
  <c r="H117" i="10" l="1"/>
  <c r="G8" i="8"/>
  <c r="G11" i="8" s="1"/>
  <c r="G20" i="8" s="1"/>
  <c r="I32" i="9"/>
  <c r="G51" i="7"/>
  <c r="D82" i="5"/>
  <c r="E82" i="5" l="1"/>
  <c r="H58" i="10"/>
  <c r="H63" i="10" s="1"/>
  <c r="H67" i="10" s="1"/>
  <c r="H80" i="10"/>
  <c r="I9" i="10"/>
  <c r="I14" i="10" s="1"/>
  <c r="I95" i="10"/>
  <c r="I98" i="10" s="1"/>
  <c r="G37" i="8"/>
  <c r="G39" i="8" s="1"/>
  <c r="G53" i="7"/>
  <c r="H36" i="8" l="1"/>
  <c r="G41" i="8"/>
  <c r="G43" i="8" s="1"/>
  <c r="G46" i="8" s="1"/>
  <c r="G82" i="5"/>
  <c r="C83" i="5" s="1"/>
  <c r="I15" i="10"/>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I93" i="5" s="1"/>
  <c r="I94" i="5" l="1"/>
  <c r="O17" i="5"/>
  <c r="E93" i="5"/>
  <c r="H93" i="5" s="1"/>
  <c r="D94" i="5"/>
  <c r="I26" i="9"/>
  <c r="H94" i="5" l="1"/>
  <c r="N17" i="5"/>
  <c r="I112" i="10"/>
  <c r="H47" i="7"/>
  <c r="H49" i="7" s="1"/>
  <c r="I109" i="10" s="1"/>
  <c r="E94" i="5"/>
  <c r="I25" i="9"/>
  <c r="Q26" i="9" s="1"/>
  <c r="G93" i="5"/>
  <c r="I113" i="10" l="1"/>
  <c r="H28" i="8"/>
  <c r="H31" i="8" s="1"/>
  <c r="M17" i="5"/>
  <c r="I115" i="10"/>
  <c r="H95" i="4"/>
  <c r="H98" i="4" s="1"/>
  <c r="H99" i="4" s="1"/>
  <c r="H50" i="7" s="1"/>
  <c r="I29" i="9" s="1"/>
  <c r="I30" i="9" s="1"/>
  <c r="I31" i="9" s="1"/>
  <c r="I33" i="9" s="1"/>
  <c r="H8" i="8" s="1"/>
  <c r="H11" i="8" s="1"/>
  <c r="H20" i="8" s="1"/>
  <c r="I117" i="10" l="1"/>
  <c r="H51" i="7"/>
  <c r="D33" i="2" l="1"/>
  <c r="J95" i="10"/>
  <c r="J98" i="10" s="1"/>
  <c r="H37" i="8"/>
  <c r="H39" i="8" s="1"/>
  <c r="H41" i="8" s="1"/>
  <c r="H43" i="8" s="1"/>
  <c r="H46" i="8" s="1"/>
  <c r="I58" i="10"/>
  <c r="I63" i="10" s="1"/>
  <c r="I67" i="10" s="1"/>
  <c r="I80" i="10"/>
  <c r="C82" i="10" s="1"/>
  <c r="C85" i="10" s="1"/>
  <c r="D29" i="2" s="1"/>
  <c r="J9" i="10"/>
  <c r="J14" i="10" s="1"/>
  <c r="H53" i="7"/>
  <c r="C69" i="10" l="1"/>
  <c r="C73" i="10" s="1"/>
  <c r="D31" i="2" s="1"/>
  <c r="J15" i="10"/>
  <c r="C16" i="10" s="1"/>
  <c r="D18" i="10" l="1"/>
  <c r="D30" i="2"/>
  <c r="E18" i="10" l="1"/>
  <c r="D19" i="10"/>
  <c r="F18" i="10" l="1"/>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<sst xmlns="http://schemas.openxmlformats.org/spreadsheetml/2006/main" count="1483" uniqueCount="749">
  <si>
    <t>Note for users</t>
  </si>
  <si>
    <t xml:space="preserve">Draft Business Plan Financial Calculator </t>
  </si>
  <si>
    <t xml:space="preserve">1.0 About the calculator </t>
  </si>
  <si>
    <r>
      <rPr>
        <sz val="11"/>
        <color rgb="FF000000"/>
        <rFont val="Calibri"/>
      </rP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color rgb="FF000000"/>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</si>
  <si>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2.0 Features </t>
  </si>
  <si>
    <r>
      <rPr>
        <sz val="11"/>
        <color rgb="FF000000"/>
        <rFont val="Calibri"/>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</si>
  <si>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</si>
  <si>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</si>
  <si>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</si>
  <si>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</si>
  <si>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</si>
  <si>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</si>
  <si>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</si>
  <si>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</si>
  <si>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</si>
  <si>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</si>
  <si>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</si>
  <si>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</si>
  <si>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</si>
  <si>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</si>
  <si>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</si>
  <si>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</si>
  <si>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</si>
  <si>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</si>
  <si>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</si>
  <si>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</si>
  <si>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</si>
  <si>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</si>
  <si>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</si>
  <si>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</si>
  <si>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</si>
  <si>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</si>
  <si>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</si>
  <si>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</si>
  <si>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</si>
  <si>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</si>
  <si>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</si>
  <si>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</si>
  <si>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</si>
  <si>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</si>
  <si>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</si>
  <si>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</si>
  <si>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</si>
  <si>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</si>
  <si>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</si>
  <si>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</si>
  <si>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</si>
  <si>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</si>
  <si>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</si>
  <si>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</si>
  <si>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</si>
  <si>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</si>
  <si>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</si>
  <si>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</si>
  <si>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</si>
  <si>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</si>
  <si>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</si>
  <si>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</si>
  <si>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</si>
  <si>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</si>
  <si>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</si>
  <si>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</si>
  <si>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</si>
  <si>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</si>
  <si>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</si>
  <si>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</si>
  <si>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</si>
  <si>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</si>
  <si>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</si>
  <si>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</si>
  <si>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</si>
  <si>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</si>
  <si>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</si>
  <si>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</si>
  <si>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</si>
  <si>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</si>
  <si>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</si>
  <si>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</si>
  <si>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</si>
  <si>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</si>
  <si>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</si>
  <si>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</si>
  <si>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</si>
  <si>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</si>
  <si>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</si>
  <si>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</si>
  <si>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</si>
  <si>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</si>
  <si>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</si>
  <si>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</si>
  <si>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</si>
  <si>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</si>
  <si>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</si>
  <si>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</si>
  <si>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</si>
  <si>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</si>
  <si>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</si>
  <si>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</si>
  <si>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</si>
  <si>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</si>
  <si>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</si>
  <si>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</si>
  <si>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</si>
  <si>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</si>
  <si>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</si>
  <si>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</si>
  <si>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</si>
  <si>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</si>
  <si>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</si>
  <si>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</si>
  <si>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</si>
  <si>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</si>
  <si>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</si>
  <si>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</si>
  <si>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</si>
  <si>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</si>
  <si>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</si>
  <si>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</si>
  <si>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</si>
  <si>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</si>
  <si>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</si>
  <si>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</si>
  <si>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</si>
  <si>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</si>
  <si>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</si>
  <si>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</si>
  <si>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</si>
  <si>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This Sheet provide details of land and various construction, including area, rate per unit and total amount</t>
  </si>
  <si>
    <t>Machinery and Equipment</t>
  </si>
  <si>
    <t>Capacity</t>
  </si>
  <si>
    <t>No. Required</t>
  </si>
  <si>
    <t>Rate</t>
  </si>
  <si>
    <t>Total HP</t>
  </si>
  <si>
    <t>Custom Hiring</t>
  </si>
  <si>
    <t>Subtotal</t>
  </si>
  <si>
    <t>C</t>
  </si>
  <si>
    <t>Cleaning &amp; Grading</t>
  </si>
  <si>
    <t>D</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</si>
  <si>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</si>
  <si>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</si>
  <si>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</si>
  <si>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</si>
  <si>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</si>
  <si>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</si>
  <si>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</si>
  <si>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</si>
  <si>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</si>
  <si>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</si>
  <si>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</si>
  <si>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</si>
  <si>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</si>
  <si>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</si>
  <si>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</si>
  <si>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</si>
  <si>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</si>
  <si>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</si>
  <si>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</si>
  <si>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</si>
  <si>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</si>
  <si>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</si>
  <si>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</si>
  <si>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</si>
  <si>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</si>
  <si>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</si>
  <si>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</si>
  <si>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</si>
  <si>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</si>
  <si>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</si>
  <si>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</si>
  <si>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</si>
  <si>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</si>
  <si>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</si>
  <si>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</si>
  <si>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</si>
  <si>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</si>
  <si>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</si>
  <si>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</si>
  <si>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</si>
  <si>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</si>
  <si>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</si>
  <si>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</si>
  <si>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</si>
  <si>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</si>
  <si>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</si>
  <si>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</si>
  <si>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</si>
  <si>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</si>
  <si>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</si>
  <si>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</si>
  <si>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</si>
  <si>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</si>
  <si>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</si>
  <si>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</si>
  <si>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</si>
  <si>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</si>
  <si>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</si>
  <si>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</si>
  <si>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</si>
  <si>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</si>
  <si>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</si>
  <si>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</si>
  <si>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</si>
  <si>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</si>
  <si>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</si>
  <si>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</si>
  <si>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</si>
  <si>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</si>
  <si>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</si>
  <si>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</si>
  <si>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</si>
  <si>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</si>
  <si>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</si>
  <si>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</si>
  <si>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</si>
  <si>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</si>
  <si>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</si>
  <si>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</si>
  <si>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</si>
  <si>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</si>
  <si>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</si>
  <si>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</si>
  <si>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</si>
  <si>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</si>
  <si>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</si>
  <si>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</si>
  <si>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</si>
  <si>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</si>
  <si>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</si>
  <si>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</si>
  <si>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</si>
  <si>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</si>
  <si>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</si>
  <si>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</si>
  <si>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</si>
  <si>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</si>
  <si>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</si>
  <si>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</si>
  <si>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</si>
  <si>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</si>
  <si>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</si>
  <si>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</si>
  <si>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</si>
  <si>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</si>
  <si>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</si>
  <si>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</si>
  <si>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</si>
  <si>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</si>
  <si>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</si>
  <si>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</si>
  <si>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</si>
  <si>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</si>
  <si>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</si>
  <si>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</si>
  <si>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</si>
  <si>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</si>
  <si>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</si>
  <si>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</si>
  <si>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</si>
  <si>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</si>
  <si>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</si>
  <si>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</si>
  <si>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</si>
  <si>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</si>
  <si>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</si>
  <si>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</si>
  <si>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</si>
  <si>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</si>
  <si>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</si>
  <si>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</si>
  <si>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</si>
  <si>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</si>
  <si>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</si>
  <si>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</si>
  <si>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</si>
  <si>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</si>
  <si>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</si>
  <si>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</si>
  <si>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</si>
  <si>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</si>
  <si>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</si>
  <si>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</si>
  <si>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</si>
  <si>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</si>
  <si>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</si>
  <si>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</si>
  <si>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</si>
  <si>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</si>
  <si>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</si>
  <si>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</si>
  <si>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</si>
  <si>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</si>
  <si>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</si>
  <si>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</si>
  <si>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</si>
  <si>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</si>
  <si>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</si>
  <si>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</si>
  <si>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</si>
  <si>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</si>
  <si>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</si>
  <si>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</si>
  <si>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</si>
  <si>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</si>
  <si>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</si>
  <si>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</si>
  <si>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</si>
  <si>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</si>
  <si>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</si>
  <si>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</si>
  <si>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</si>
  <si>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</si>
  <si>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</si>
  <si>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</si>
  <si>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</si>
  <si>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</si>
  <si>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</si>
  <si>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</si>
  <si>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</si>
  <si>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</si>
  <si>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</si>
  <si>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</si>
  <si>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</si>
  <si>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</si>
  <si>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</si>
  <si>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</si>
  <si>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</si>
  <si>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</si>
  <si>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</si>
  <si>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</si>
  <si>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</si>
  <si>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</si>
  <si>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</si>
  <si>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</si>
  <si>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</si>
  <si>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</si>
  <si>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</si>
  <si>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</si>
  <si>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</si>
  <si>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</si>
  <si>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</si>
  <si>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</si>
  <si>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</si>
  <si>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</si>
  <si>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</si>
  <si>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</si>
  <si>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</si>
  <si>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</si>
  <si>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</si>
  <si>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</si>
  <si>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</si>
  <si>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</si>
  <si>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</si>
  <si>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</si>
  <si>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</si>
  <si>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</si>
  <si>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</si>
  <si>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</si>
  <si>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</si>
  <si>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</si>
  <si>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</si>
  <si>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</si>
  <si>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</si>
  <si>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</si>
  <si>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</si>
  <si>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</si>
  <si>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</si>
  <si>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</si>
  <si>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</si>
  <si>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</si>
  <si>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</si>
  <si>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</si>
  <si>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</si>
  <si>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</si>
  <si>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</si>
  <si>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</si>
  <si>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</si>
  <si>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</si>
  <si>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</si>
  <si>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</si>
  <si>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</si>
  <si>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</si>
  <si>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</si>
  <si>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</si>
  <si>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</si>
  <si>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</si>
  <si>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</si>
  <si>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</si>
  <si>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</si>
  <si>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</si>
  <si>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</si>
  <si>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</si>
  <si>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</si>
  <si>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</si>
  <si>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</si>
  <si>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</si>
  <si>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</si>
  <si>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</si>
  <si>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</si>
  <si>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</si>
  <si>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</si>
  <si>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</si>
  <si>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</si>
  <si>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</si>
  <si>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</si>
  <si>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</si>
  <si>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</si>
  <si>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</si>
  <si>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</si>
  <si>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</si>
  <si>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</si>
  <si>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</si>
  <si>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</si>
  <si>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</si>
  <si>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</si>
  <si>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</si>
  <si>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</si>
  <si>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</si>
  <si>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</si>
  <si>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</si>
  <si>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</si>
  <si>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</si>
  <si>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</si>
  <si>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</si>
  <si>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</si>
  <si>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</si>
  <si>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</si>
  <si>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</si>
  <si>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</si>
  <si>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</si>
  <si>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</si>
  <si>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</si>
  <si>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</si>
  <si>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</si>
  <si>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</si>
  <si>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</si>
  <si>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</si>
  <si>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</si>
  <si>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</si>
  <si>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</si>
  <si>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</si>
  <si>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</si>
  <si>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</si>
  <si>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</si>
  <si>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</si>
  <si>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</si>
  <si>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</si>
  <si>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</si>
  <si>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</si>
  <si>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</si>
  <si>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</si>
  <si>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</si>
  <si>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</si>
  <si>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</si>
  <si>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</si>
  <si>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</si>
  <si>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</si>
  <si>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</si>
  <si>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</si>
  <si>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</si>
  <si>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</si>
  <si>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</si>
  <si>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</si>
  <si>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</si>
  <si>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</si>
  <si>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</si>
  <si>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</si>
  <si>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</si>
  <si>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</si>
  <si>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</si>
  <si>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</si>
  <si>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</si>
  <si>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</si>
  <si>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</si>
  <si>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</si>
  <si>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</si>
  <si>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</si>
  <si>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</si>
  <si>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</si>
  <si>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</si>
  <si>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</si>
  <si>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</si>
  <si>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</si>
  <si>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</si>
  <si>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</si>
  <si>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</si>
  <si>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</si>
  <si>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</si>
  <si>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</si>
  <si>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</si>
  <si>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</si>
  <si>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</si>
  <si>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</si>
  <si>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</si>
  <si>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</si>
  <si>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</si>
  <si>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</si>
  <si>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</si>
  <si>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</si>
  <si>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</si>
  <si>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</si>
  <si>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</si>
  <si>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</si>
  <si>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</si>
  <si>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</si>
  <si>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</si>
  <si>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</si>
  <si>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</si>
  <si>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</si>
  <si>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</si>
  <si>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</si>
  <si>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</si>
  <si>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</si>
  <si>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</si>
  <si>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</si>
  <si>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</si>
  <si>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</si>
  <si>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</si>
  <si>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</si>
  <si>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</si>
  <si>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</si>
  <si>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</si>
  <si>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</si>
  <si>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</si>
  <si>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</si>
  <si>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</si>
  <si>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</si>
  <si>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</si>
  <si>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</si>
  <si>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</si>
  <si>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</si>
  <si>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</si>
  <si>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</si>
  <si>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</si>
  <si>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</si>
  <si>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</si>
  <si>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</si>
  <si>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</si>
  <si>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</si>
  <si>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</si>
  <si>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</si>
  <si>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</si>
  <si>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</si>
  <si>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</si>
  <si>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</si>
  <si>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</si>
  <si>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</si>
  <si>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</si>
  <si>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</si>
  <si>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</si>
  <si>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</si>
  <si>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</si>
  <si>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</si>
  <si>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</si>
  <si>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</si>
  <si>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</si>
  <si>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</si>
  <si>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</si>
  <si>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</si>
  <si>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</si>
  <si>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</si>
  <si>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</si>
  <si>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</si>
  <si>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</si>
  <si>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</si>
  <si>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</si>
  <si>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</si>
  <si>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</si>
  <si>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</si>
  <si>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</si>
  <si>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</si>
  <si>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</si>
  <si>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</si>
  <si>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</si>
  <si>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</si>
  <si>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</si>
  <si>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</si>
  <si>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</si>
  <si>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</si>
  <si>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</si>
  <si>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</si>
  <si>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</si>
  <si>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</si>
  <si>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</si>
  <si>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</si>
  <si>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</si>
  <si>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</si>
  <si>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</si>
  <si>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</si>
  <si>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</si>
  <si>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</si>
  <si>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</si>
  <si>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</si>
  <si>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</si>
  <si>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</si>
  <si>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</si>
  <si>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</si>
  <si>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</si>
  <si>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</si>
  <si>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</si>
  <si>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</si>
  <si>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</si>
  <si>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</si>
  <si>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</si>
  <si>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13.1 Producers/ Capacity Utilization</t>
  </si>
  <si>
    <t>Qtls P Hour</t>
  </si>
  <si>
    <t>No. of Operation Days</t>
  </si>
  <si>
    <t>Total Quantity to be Processed</t>
  </si>
  <si>
    <t>Quanity for Processing and Trading for PC</t>
  </si>
  <si>
    <t>Output (KG)</t>
  </si>
  <si>
    <t>Dal (80%)</t>
  </si>
  <si>
    <t>Husk and Powder</t>
  </si>
  <si>
    <t>Packaging (In Kg)</t>
  </si>
  <si>
    <t>50 Kg</t>
  </si>
  <si>
    <t>Kg</t>
  </si>
  <si>
    <t>Oil (Liters)</t>
  </si>
  <si>
    <t xml:space="preserve">Daily Labour </t>
  </si>
  <si>
    <t>Loading/Unloading Charges</t>
  </si>
  <si>
    <t>packaging Exp</t>
  </si>
  <si>
    <t>Transportation Charges</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</si>
  <si>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</si>
  <si>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</si>
  <si>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</si>
  <si>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</si>
  <si>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</si>
  <si>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</si>
  <si>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</si>
  <si>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</si>
  <si>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</si>
  <si>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</si>
  <si>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</si>
  <si>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</si>
  <si>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</si>
  <si>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</si>
  <si>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</si>
  <si>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</si>
  <si>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</si>
  <si>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</si>
  <si>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</si>
  <si>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</si>
  <si>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</si>
  <si>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</si>
  <si>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</si>
  <si>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</si>
  <si>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</si>
  <si>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</si>
  <si>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</si>
  <si>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</si>
  <si>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</si>
  <si>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</si>
  <si>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</si>
  <si>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</si>
  <si>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</si>
  <si>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</si>
  <si>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</si>
  <si>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</si>
  <si>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</si>
  <si>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</si>
  <si>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</si>
  <si>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</si>
  <si>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</si>
  <si>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</si>
  <si>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</si>
  <si>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</si>
  <si>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</si>
  <si>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</si>
  <si>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</si>
  <si>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</si>
  <si>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</si>
  <si>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</si>
  <si>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</si>
  <si>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</si>
  <si>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</si>
  <si>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</si>
  <si>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</si>
  <si>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</si>
  <si>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</si>
  <si>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</si>
  <si>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</si>
  <si>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</si>
  <si>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</si>
  <si>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</si>
  <si>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</si>
  <si>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</si>
  <si>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</si>
  <si>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</si>
  <si>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</si>
  <si>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</si>
  <si>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</si>
  <si>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</si>
  <si>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</si>
  <si>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</si>
  <si>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</si>
  <si>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</si>
  <si>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</si>
  <si>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</si>
  <si>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</si>
  <si>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</si>
  <si>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</si>
  <si>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</si>
  <si>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</si>
  <si>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</si>
  <si>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BUILDING</t>
  </si>
  <si>
    <t>LAND LEASE REGISTRATION FEE</t>
  </si>
  <si>
    <t>SOYA DOC</t>
  </si>
  <si>
    <t>FEED</t>
  </si>
  <si>
    <t xml:space="preserve">Total Project Costs means  the costs incurred or to be incurred by a FPC in connection with or incidental to the Construction </t>
  </si>
  <si>
    <t>and acquisition of assets including preoprtaive expenditure , design, construction and Working Capital</t>
  </si>
  <si>
    <t>PLANT &amp; MACHINERY</t>
  </si>
  <si>
    <t xml:space="preserve">SHRI SHIV IMPACT PULVERISER </t>
  </si>
  <si>
    <t>MOVING FOUDATION STAND</t>
  </si>
  <si>
    <t>MOTOR PULLEY</t>
  </si>
  <si>
    <t>CLOTH BALLON</t>
  </si>
  <si>
    <t>VIBRATING SCREEN</t>
  </si>
  <si>
    <t>PACKING MCHINE 250 GRAM</t>
  </si>
  <si>
    <t>PACKING MCHINE 500 GRAM</t>
  </si>
  <si>
    <t>ELECTRIC ACCESSORIES</t>
  </si>
  <si>
    <t>TURMERIC MACHINERY</t>
  </si>
  <si>
    <t>POWER TELER</t>
  </si>
  <si>
    <t>Turmeric</t>
  </si>
  <si>
    <t>Facility 2 - Grain Processing Unit - TURMERIC PROCESSING PLANT</t>
  </si>
  <si>
    <t>TURMERIC POWDER</t>
  </si>
  <si>
    <t>1 Kg</t>
  </si>
  <si>
    <t>13.2 Facility 2 - Profit and loss of Grain Processing Unit - TURMERIC PROCESSING PLANT</t>
  </si>
  <si>
    <t>TURMERIC POWDER 5 KG</t>
  </si>
  <si>
    <t>TURMERIC POWDER 1 KG</t>
  </si>
  <si>
    <t>Faclitiy 2 - Processing Unit- TURMERIC PLANT</t>
  </si>
  <si>
    <t>Cloropayari Foss</t>
  </si>
  <si>
    <t>NETBEAT MACHINE</t>
  </si>
  <si>
    <t>VEHICLE FOR CARRYING RAW MATERIALS &amp; FINISHED GOODS</t>
  </si>
  <si>
    <t>FURNITURE</t>
  </si>
  <si>
    <t>COMPUTER</t>
  </si>
  <si>
    <t>INTERNAL ELECTRIC INSTALLATION</t>
  </si>
  <si>
    <t>TURMERIC SEED PLANTER</t>
  </si>
  <si>
    <t>TURMERIC HARVESTING MACHINE</t>
  </si>
  <si>
    <t>TURMERIC GRADER</t>
  </si>
  <si>
    <t>TURMERIC COOKER</t>
  </si>
  <si>
    <t>1 HPP PUMP</t>
  </si>
  <si>
    <t>KERA 160 MACHINE</t>
  </si>
  <si>
    <t>LEMKEN OPAL PLOUGH</t>
  </si>
  <si>
    <t>LEMKEN SPINEL 160C (TERMINATOR)</t>
  </si>
  <si>
    <t>TRACTOR -1 - 28HP</t>
  </si>
  <si>
    <t>TRACTOR -2 - 50HP</t>
  </si>
  <si>
    <t>PRE HARVESTING MACHINERY</t>
  </si>
  <si>
    <t>ELETRIC LOAD TRANSFORMER</t>
  </si>
  <si>
    <t>TALLY SOFTWARE</t>
  </si>
  <si>
    <t>COSULATANCY, CA, CHARTERD ENGINNER AND OTHER EXPENSES</t>
  </si>
  <si>
    <t>WEIGHBRIDGE 5 TON</t>
  </si>
  <si>
    <t>INCLINED SCREW CONVEYOR C09</t>
  </si>
  <si>
    <t>KAWACH SERVO 700 B44 - PRO (BECKHOFF MODEL)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</si>
</sst>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_ * #,##0.00_ ;_ * \-#,##0.00_ ;_ * &quot;-&quot;??_ ;_ @_ "/>
    <numFmt numFmtId="165" formatCode="_-* #,##0.00_-;\-* #,##0.00_-;_-* &quot;-&quot;??_-;_-@_-"/>
    <numFmt numFmtId="166" formatCode="&quot;Rs.&quot;\ #,##0.00;[Red]&quot;Rs.&quot;\ \-#,##0.00"/>
    <numFmt numFmtId="167" formatCode="_(* #,##0_);_(* \(#,##0\);_(* &quot;-&quot;??_);_(@_)"/>
    <numFmt numFmtId="168" formatCode="_-* #,##0_-;\-* #,##0_-;_-* &quot;-&quot;??_-;_-@"/>
    <numFmt numFmtId="169" formatCode="_-* #,##0.00_-;\-* #,##0.00_-;_-* &quot;-&quot;??_-;_-@"/>
    <numFmt numFmtId="170" formatCode="#,##0_ ;[Red]\-#,##0\ "/>
    <numFmt numFmtId="171" formatCode="#,##0.00_ ;[Red]\-#,##0.00\ "/>
    <numFmt numFmtId="172" formatCode="0.0"/>
    <numFmt numFmtId="173" formatCode="_(* #,##0.0000_);_(* \(#,##0.0000\);_(* &quot;-&quot;??_);_(@_)"/>
    <numFmt numFmtId="174" formatCode="_ * #,##0_ ;_ * \-#,##0_ ;_ * &quot;-&quot;??_ ;_ @_ "/>
    <numFmt numFmtId="175" formatCode="_ * #,##0.0_ ;_ * \-#,##0.0_ ;_ * &quot;-&quot;??_ ;_ @_ "/>
    <numFmt numFmtId="176" formatCode="0.0%"/>
    <numFmt numFmtId="177" formatCode="_ * #,##0.0000_ ;_ * \-#,##0.0000_ ;_ * &quot;-&quot;??_ ;_ @_ "/>
    <numFmt numFmtId="178" formatCode="_-* #,##0_-;\-* #,##0_-;_-* &quot;-&quot;??_-;_-@_-"/>
  </numFmts>
  <fonts count="62" x14ac:knownFonts="1">
    <font>
      <sz val="11"/>
      <color rgb="FF000000"/>
      <name val="Calibri"/>
    </font>
    <font>
      <b/>
      <sz val="24"/>
      <color rgb="FF000000"/>
      <name val="Calibri"/>
    </font>
    <font>
      <sz val="11"/>
      <name val="Calibri"/>
    </font>
    <font>
      <b/>
      <u/>
      <sz val="18"/>
      <color rgb="FF000000"/>
      <name val="Calibri"/>
    </font>
    <font>
      <b/>
      <sz val="18"/>
      <color rgb="FF000000"/>
      <name val="Calibri"/>
    </font>
    <font>
      <b/>
      <sz val="11"/>
      <color rgb="FF000000"/>
      <name val="Calibri"/>
    </font>
    <font>
      <b/>
      <sz val="11"/>
      <color rgb="FFC00000"/>
      <name val="Calibri"/>
    </font>
    <font>
      <b/>
      <sz val="16"/>
      <color rgb="FF000000"/>
      <name val="Calibri"/>
    </font>
    <font>
      <b/>
      <sz val="14"/>
      <color rgb="FF000000"/>
      <name val="Times New Roman"/>
    </font>
    <font>
      <b/>
      <sz val="10"/>
      <color rgb="FFFFFFFF"/>
      <name val="Times New Roman"/>
    </font>
    <font>
      <sz val="10"/>
      <color rgb="FF000000"/>
      <name val="Times New Roman"/>
    </font>
    <font>
      <sz val="10"/>
      <color rgb="FF00000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name val="Calibri"/>
    </font>
    <font>
      <b/>
      <sz val="14"/>
      <name val="Times New Roman"/>
    </font>
    <font>
      <b/>
      <u/>
      <sz val="11"/>
      <color rgb="FF000000"/>
      <name val="Times New Roman"/>
    </font>
    <font>
      <b/>
      <i/>
      <sz val="11"/>
      <color rgb="FF000000"/>
      <name val="Times New Roman"/>
    </font>
    <font>
      <b/>
      <sz val="11"/>
      <name val="Times New Roman"/>
    </font>
    <font>
      <sz val="11"/>
      <name val="Calibri"/>
    </font>
    <font>
      <b/>
      <u/>
      <sz val="11"/>
      <color rgb="FF0000FF"/>
      <name val="Calibri"/>
    </font>
    <font>
      <sz val="11"/>
      <color rgb="FFFFFFFF"/>
      <name val="Times New Roman"/>
    </font>
    <font>
      <b/>
      <sz val="8"/>
      <color rgb="FF202124"/>
      <name val="Arial"/>
    </font>
    <font>
      <b/>
      <sz val="9"/>
      <name val="Arial"/>
    </font>
    <font>
      <b/>
      <sz val="11"/>
      <color rgb="FF272727"/>
      <name val="Garamond"/>
    </font>
    <font>
      <sz val="10"/>
      <color rgb="FF424142"/>
      <name val="Georgia"/>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sz val="13"/>
      <color rgb="FF000000"/>
      <name val="Times New Roman"/>
    </font>
    <font>
      <sz val="12"/>
      <color rgb="FFFFFFFF"/>
      <name val="Times New Roman"/>
    </font>
    <font>
      <sz val="12"/>
      <color rgb="FFFF0000"/>
      <name val="Times New Roman"/>
    </font>
    <font>
      <sz val="13"/>
      <name val="Times New Roman"/>
    </font>
    <font>
      <b/>
      <u/>
      <sz val="11"/>
      <color rgb="FF0000FF"/>
      <name val="Garamond"/>
    </font>
    <font>
      <b/>
      <sz val="11"/>
      <color rgb="FF202122"/>
      <name val="Garamond"/>
    </font>
    <font>
      <b/>
      <sz val="12"/>
      <color rgb="FFFFFFFF"/>
      <name val="Times New Roman"/>
    </font>
    <font>
      <sz val="12"/>
      <color rgb="FF000000"/>
      <name val="Times New Roman"/>
    </font>
    <font>
      <sz val="12"/>
      <name val="Times New Roman"/>
    </font>
    <font>
      <b/>
      <sz val="11"/>
      <color rgb="FF111111"/>
      <name val="Garamond"/>
    </font>
    <font>
      <b/>
      <sz val="11"/>
      <color rgb="FFFFFFFF"/>
      <name val="Calibri"/>
    </font>
    <font>
      <sz val="11"/>
      <color rgb="FFFFFFFF"/>
      <name val="Calibri"/>
    </font>
    <font>
      <sz val="11"/>
      <color rgb="FFC00000"/>
      <name val="Calibri"/>
    </font>
    <font>
      <b/>
      <sz val="11"/>
      <color rgb="FF000000"/>
      <name val="Times New Roman"/>
      <family val="1"/>
    </font>
    <font>
      <sz val="11"/>
      <color rgb="FF000000"/>
      <name val="Times New Roman"/>
      <family val="1"/>
    </font>
    <font>
      <sz val="11"/>
      <color rgb="FF000000"/>
      <name val="Calibri"/>
      <family val="2"/>
    </font>
    <font>
      <b/>
      <sz val="14"/>
      <color rgb="FF000000"/>
      <name val="Times New Roman"/>
      <family val="1"/>
    </font>
    <font>
      <sz val="11"/>
      <color rgb="FF000000"/>
      <name val="Garamond"/>
      <family val="1"/>
    </font>
    <font>
      <sz val="11"/>
      <color rgb="FF000000"/>
      <name val="Calibri"/>
    </font>
    <font>
      <b/>
      <sz val="14"/>
      <color rgb="FFFF0000"/>
      <name val="Calibri"/>
      <family val="2"/>
    </font>
  </fonts>
  <fills count="12">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
      <patternFill patternType="solid">
        <fgColor rgb="FFFFFFFF"/>
        <bgColor rgb="FFFFFFFF"/>
      </patternFill>
    </fill>
  </fills>
  <borders count="3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s>
  <cellStyleXfs count="2">
    <xf numFmtId="0" fontId="0" fillId="0" borderId="0"/>
    <xf numFmtId="165" fontId="60" fillId="0" borderId="0" applyFont="0" applyFill="0" applyBorder="0" applyAlignment="0" applyProtection="0"/>
  </cellStyleXfs>
  <cellXfs count="404">
    <xf numFmtId="0" fontId="0" fillId="0" borderId="0" xfId="0" applyFont="1" applyAlignment="1"/>
    <xf numFmtId="0" fontId="0" fillId="0" borderId="0" xfId="0" applyFont="1" applyAlignment="1">
      <alignment vertical="center" wrapText="1"/>
    </xf>
    <xf numFmtId="0" fontId="0" fillId="5" borderId="5" xfId="0" applyFont="1" applyFill="1" applyBorder="1" applyAlignment="1">
      <alignment vertical="center" wrapText="1"/>
    </xf>
    <xf numFmtId="0" fontId="0" fillId="6" borderId="5" xfId="0" applyFont="1" applyFill="1" applyBorder="1" applyAlignment="1">
      <alignment vertical="center" wrapText="1"/>
    </xf>
    <xf numFmtId="0" fontId="5" fillId="0" borderId="6" xfId="0" applyFont="1" applyBorder="1" applyAlignment="1">
      <alignment vertical="center" wrapText="1"/>
    </xf>
    <xf numFmtId="0" fontId="5" fillId="7" borderId="6" xfId="0" applyFont="1" applyFill="1" applyBorder="1" applyAlignment="1">
      <alignment vertical="center" wrapText="1"/>
    </xf>
    <xf numFmtId="0" fontId="6" fillId="0" borderId="6"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5" fillId="7" borderId="10" xfId="0" applyFont="1" applyFill="1" applyBorder="1" applyAlignment="1">
      <alignment vertical="center" wrapText="1"/>
    </xf>
    <xf numFmtId="0" fontId="0" fillId="0" borderId="6" xfId="0" applyFont="1" applyBorder="1" applyAlignment="1">
      <alignment horizontal="center" vertical="center" wrapText="1"/>
    </xf>
    <xf numFmtId="0" fontId="9" fillId="8" borderId="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6" xfId="0" applyFont="1" applyBorder="1" applyAlignment="1">
      <alignment vertical="center" wrapText="1"/>
    </xf>
    <xf numFmtId="167" fontId="10" fillId="0" borderId="6" xfId="0" applyNumberFormat="1" applyFont="1" applyBorder="1" applyAlignment="1">
      <alignment vertical="center" wrapText="1"/>
    </xf>
    <xf numFmtId="9" fontId="11" fillId="6" borderId="6" xfId="0" applyNumberFormat="1" applyFont="1" applyFill="1" applyBorder="1"/>
    <xf numFmtId="167" fontId="11" fillId="0" borderId="6" xfId="0" applyNumberFormat="1" applyFont="1" applyBorder="1"/>
    <xf numFmtId="0" fontId="11" fillId="0" borderId="6" xfId="0" applyFont="1" applyBorder="1"/>
    <xf numFmtId="167" fontId="12" fillId="0" borderId="6" xfId="0" applyNumberFormat="1" applyFont="1" applyBorder="1" applyAlignment="1">
      <alignment horizontal="center" vertical="center" wrapText="1"/>
    </xf>
    <xf numFmtId="168" fontId="0" fillId="0" borderId="0" xfId="0" applyNumberFormat="1" applyFont="1"/>
    <xf numFmtId="0" fontId="9" fillId="8" borderId="6" xfId="0" applyFont="1" applyFill="1" applyBorder="1" applyAlignment="1">
      <alignment vertical="center" wrapText="1"/>
    </xf>
    <xf numFmtId="9" fontId="10" fillId="0" borderId="6" xfId="0" applyNumberFormat="1" applyFont="1" applyBorder="1" applyAlignment="1">
      <alignment horizontal="right" vertical="center" wrapText="1"/>
    </xf>
    <xf numFmtId="168" fontId="10" fillId="0" borderId="6" xfId="0" applyNumberFormat="1" applyFont="1" applyBorder="1" applyAlignment="1">
      <alignment horizontal="right" vertical="center" wrapText="1"/>
    </xf>
    <xf numFmtId="9" fontId="10" fillId="6" borderId="6" xfId="0" applyNumberFormat="1" applyFont="1" applyFill="1" applyBorder="1" applyAlignment="1">
      <alignment horizontal="right" vertical="center" wrapText="1"/>
    </xf>
    <xf numFmtId="168" fontId="12" fillId="0" borderId="6" xfId="0" applyNumberFormat="1" applyFont="1" applyBorder="1" applyAlignment="1">
      <alignment horizontal="right" vertical="center" wrapText="1"/>
    </xf>
    <xf numFmtId="0" fontId="5" fillId="0" borderId="0" xfId="0" applyFont="1" applyAlignment="1">
      <alignment horizontal="center"/>
    </xf>
    <xf numFmtId="0" fontId="9" fillId="9" borderId="6" xfId="0" applyFont="1" applyFill="1" applyBorder="1" applyAlignment="1">
      <alignment vertical="center" wrapText="1"/>
    </xf>
    <xf numFmtId="0" fontId="9" fillId="9" borderId="6" xfId="0" applyFont="1" applyFill="1" applyBorder="1" applyAlignment="1">
      <alignment vertical="center"/>
    </xf>
    <xf numFmtId="0" fontId="9" fillId="9" borderId="6" xfId="0" applyFont="1" applyFill="1" applyBorder="1" applyAlignment="1">
      <alignment horizontal="center" vertical="center"/>
    </xf>
    <xf numFmtId="0" fontId="9" fillId="9" borderId="6" xfId="0" applyFont="1" applyFill="1" applyBorder="1" applyAlignment="1">
      <alignment horizontal="center" vertical="center" wrapText="1"/>
    </xf>
    <xf numFmtId="0" fontId="10" fillId="0" borderId="6" xfId="0" applyFont="1" applyBorder="1" applyAlignment="1">
      <alignment horizontal="center" vertical="center" wrapText="1"/>
    </xf>
    <xf numFmtId="10"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3" fontId="10" fillId="0" borderId="6"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5" fillId="8" borderId="6" xfId="0" applyFont="1" applyFill="1" applyBorder="1" applyAlignment="1">
      <alignment horizontal="center" vertical="center" wrapText="1"/>
    </xf>
    <xf numFmtId="0" fontId="16" fillId="5" borderId="6" xfId="0" applyFont="1" applyFill="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center" vertical="center" wrapText="1"/>
    </xf>
    <xf numFmtId="169" fontId="16" fillId="0" borderId="6" xfId="0" applyNumberFormat="1" applyFont="1" applyBorder="1" applyAlignment="1">
      <alignment horizontal="right" vertical="center" wrapText="1"/>
    </xf>
    <xf numFmtId="0" fontId="17" fillId="5" borderId="6" xfId="0" applyFont="1" applyFill="1" applyBorder="1" applyAlignment="1">
      <alignment vertical="center" wrapText="1"/>
    </xf>
    <xf numFmtId="167" fontId="16" fillId="5" borderId="6" xfId="0" applyNumberFormat="1" applyFont="1" applyFill="1" applyBorder="1" applyAlignment="1">
      <alignment horizontal="left" vertical="center" wrapText="1"/>
    </xf>
    <xf numFmtId="167" fontId="16" fillId="5" borderId="6" xfId="0" applyNumberFormat="1" applyFont="1" applyFill="1" applyBorder="1" applyAlignment="1">
      <alignment vertical="center" wrapText="1"/>
    </xf>
    <xf numFmtId="167" fontId="16" fillId="5" borderId="6" xfId="0" applyNumberFormat="1" applyFont="1" applyFill="1" applyBorder="1" applyAlignment="1">
      <alignment horizontal="right" vertical="center" wrapText="1"/>
    </xf>
    <xf numFmtId="168" fontId="18" fillId="0" borderId="6" xfId="0" applyNumberFormat="1" applyFont="1" applyBorder="1" applyAlignment="1">
      <alignment horizontal="right" vertical="center" wrapText="1"/>
    </xf>
    <xf numFmtId="0" fontId="0" fillId="0" borderId="0" xfId="0" applyFont="1" applyAlignment="1">
      <alignment horizontal="center"/>
    </xf>
    <xf numFmtId="0" fontId="17" fillId="5" borderId="6" xfId="0" applyFont="1" applyFill="1" applyBorder="1" applyAlignment="1">
      <alignment horizontal="center" vertical="center" wrapText="1"/>
    </xf>
    <xf numFmtId="0" fontId="17" fillId="5" borderId="6" xfId="0" applyFont="1" applyFill="1" applyBorder="1"/>
    <xf numFmtId="168" fontId="17" fillId="5" borderId="6" xfId="0" applyNumberFormat="1" applyFont="1" applyFill="1" applyBorder="1" applyAlignment="1">
      <alignment horizontal="right"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vertical="center" wrapText="1"/>
    </xf>
    <xf numFmtId="167" fontId="18" fillId="5" borderId="6" xfId="0" applyNumberFormat="1" applyFont="1" applyFill="1" applyBorder="1" applyAlignment="1">
      <alignment horizontal="right" vertical="center" wrapText="1"/>
    </xf>
    <xf numFmtId="0" fontId="18" fillId="5" borderId="6" xfId="0" applyFont="1" applyFill="1" applyBorder="1"/>
    <xf numFmtId="168" fontId="18" fillId="5" borderId="6" xfId="0" applyNumberFormat="1" applyFont="1" applyFill="1" applyBorder="1" applyAlignment="1">
      <alignment horizontal="right" vertical="center" wrapText="1"/>
    </xf>
    <xf numFmtId="169" fontId="0" fillId="0" borderId="0" xfId="0" applyNumberFormat="1" applyFont="1"/>
    <xf numFmtId="0" fontId="19" fillId="8"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6" xfId="0" applyFont="1" applyFill="1" applyBorder="1" applyAlignment="1">
      <alignment vertical="center" wrapText="1"/>
    </xf>
    <xf numFmtId="168" fontId="14" fillId="5" borderId="6" xfId="0" applyNumberFormat="1" applyFont="1" applyFill="1" applyBorder="1" applyAlignment="1">
      <alignment horizontal="center" vertical="center" wrapText="1"/>
    </xf>
    <xf numFmtId="168" fontId="14" fillId="5" borderId="6" xfId="0" applyNumberFormat="1" applyFont="1" applyFill="1" applyBorder="1" applyAlignment="1">
      <alignment horizontal="right" vertical="center" wrapText="1"/>
    </xf>
    <xf numFmtId="168" fontId="20" fillId="0" borderId="6" xfId="0" applyNumberFormat="1" applyFont="1" applyBorder="1" applyAlignment="1">
      <alignment horizontal="right" vertical="center" wrapText="1"/>
    </xf>
    <xf numFmtId="168" fontId="17" fillId="5" borderId="6" xfId="0" applyNumberFormat="1"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7" fillId="5" borderId="20" xfId="0" applyFont="1" applyFill="1" applyBorder="1" applyAlignment="1">
      <alignment vertical="center" wrapText="1"/>
    </xf>
    <xf numFmtId="168" fontId="17" fillId="5" borderId="20" xfId="0" applyNumberFormat="1" applyFont="1" applyFill="1" applyBorder="1" applyAlignment="1">
      <alignment horizontal="right" vertical="center" wrapText="1"/>
    </xf>
    <xf numFmtId="168" fontId="18" fillId="5" borderId="20" xfId="0" applyNumberFormat="1" applyFont="1" applyFill="1" applyBorder="1" applyAlignment="1">
      <alignment horizontal="right" vertical="center" wrapText="1"/>
    </xf>
    <xf numFmtId="0" fontId="17" fillId="0" borderId="0" xfId="0" applyFont="1"/>
    <xf numFmtId="9" fontId="17" fillId="0" borderId="0" xfId="0" applyNumberFormat="1" applyFont="1"/>
    <xf numFmtId="10" fontId="17" fillId="0" borderId="0" xfId="0" applyNumberFormat="1" applyFont="1"/>
    <xf numFmtId="0" fontId="15" fillId="8" borderId="6" xfId="0" applyFont="1" applyFill="1" applyBorder="1"/>
    <xf numFmtId="0" fontId="15" fillId="8" borderId="6" xfId="0" applyFont="1" applyFill="1" applyBorder="1" applyAlignment="1">
      <alignment horizontal="center"/>
    </xf>
    <xf numFmtId="0" fontId="17" fillId="0" borderId="6" xfId="0" applyFont="1" applyBorder="1"/>
    <xf numFmtId="167" fontId="17" fillId="5" borderId="6" xfId="0" applyNumberFormat="1" applyFont="1" applyFill="1" applyBorder="1"/>
    <xf numFmtId="167" fontId="17" fillId="0" borderId="6" xfId="0" applyNumberFormat="1" applyFont="1" applyBorder="1"/>
    <xf numFmtId="0" fontId="18" fillId="0" borderId="6" xfId="0" applyFont="1" applyBorder="1"/>
    <xf numFmtId="167" fontId="18" fillId="0" borderId="6" xfId="0" applyNumberFormat="1" applyFont="1" applyBorder="1"/>
    <xf numFmtId="0" fontId="0" fillId="0" borderId="0" xfId="0" applyFont="1"/>
    <xf numFmtId="0" fontId="18" fillId="8" borderId="6" xfId="0" applyFont="1" applyFill="1" applyBorder="1"/>
    <xf numFmtId="0" fontId="15" fillId="8" borderId="6" xfId="0" applyFont="1" applyFill="1" applyBorder="1" applyAlignment="1">
      <alignment horizontal="center" wrapText="1"/>
    </xf>
    <xf numFmtId="0" fontId="18" fillId="0" borderId="6" xfId="0" applyFont="1" applyBorder="1" applyAlignment="1">
      <alignment horizontal="center"/>
    </xf>
    <xf numFmtId="0" fontId="24" fillId="0" borderId="6" xfId="0" applyFont="1" applyBorder="1"/>
    <xf numFmtId="0" fontId="25" fillId="0" borderId="6" xfId="0" applyFont="1" applyBorder="1" applyAlignment="1">
      <alignment horizontal="center"/>
    </xf>
    <xf numFmtId="0" fontId="17" fillId="0" borderId="6" xfId="0" applyFont="1" applyBorder="1" applyAlignment="1">
      <alignment horizontal="left"/>
    </xf>
    <xf numFmtId="0" fontId="18" fillId="0" borderId="6" xfId="0" applyFont="1" applyBorder="1" applyAlignment="1">
      <alignment horizontal="left"/>
    </xf>
    <xf numFmtId="168" fontId="16" fillId="0" borderId="6" xfId="0" applyNumberFormat="1" applyFont="1" applyBorder="1"/>
    <xf numFmtId="168" fontId="26" fillId="0" borderId="6" xfId="0" applyNumberFormat="1" applyFont="1" applyBorder="1"/>
    <xf numFmtId="0" fontId="17" fillId="0" borderId="0" xfId="0" applyFont="1" applyAlignment="1">
      <alignment horizontal="left"/>
    </xf>
    <xf numFmtId="168" fontId="16" fillId="0" borderId="0" xfId="0" applyNumberFormat="1" applyFont="1"/>
    <xf numFmtId="0" fontId="18" fillId="10" borderId="23" xfId="0" applyFont="1" applyFill="1" applyBorder="1" applyAlignment="1">
      <alignment horizontal="left" wrapText="1"/>
    </xf>
    <xf numFmtId="0" fontId="18" fillId="0" borderId="0" xfId="0" applyFont="1" applyAlignment="1">
      <alignment horizontal="center"/>
    </xf>
    <xf numFmtId="0" fontId="18" fillId="0" borderId="0" xfId="0" applyFont="1"/>
    <xf numFmtId="0" fontId="18" fillId="0" borderId="0" xfId="0" applyFont="1" applyAlignment="1">
      <alignment wrapText="1"/>
    </xf>
    <xf numFmtId="0" fontId="17" fillId="0" borderId="0" xfId="0" applyFont="1" applyAlignment="1">
      <alignment wrapText="1"/>
    </xf>
    <xf numFmtId="0" fontId="27" fillId="0" borderId="0" xfId="0" applyFont="1"/>
    <xf numFmtId="0" fontId="28" fillId="0" borderId="0" xfId="0" applyFont="1"/>
    <xf numFmtId="0" fontId="15" fillId="9" borderId="6" xfId="0" applyFont="1" applyFill="1" applyBorder="1" applyAlignment="1">
      <alignment vertical="center"/>
    </xf>
    <xf numFmtId="0" fontId="15" fillId="9" borderId="6" xfId="0" applyFont="1" applyFill="1" applyBorder="1" applyAlignment="1">
      <alignment horizontal="center" vertical="center"/>
    </xf>
    <xf numFmtId="168" fontId="29" fillId="9" borderId="6" xfId="0" applyNumberFormat="1" applyFont="1" applyFill="1" applyBorder="1" applyAlignment="1">
      <alignment horizontal="center"/>
    </xf>
    <xf numFmtId="168" fontId="27"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6" fillId="0" borderId="6" xfId="0" applyFont="1" applyBorder="1"/>
    <xf numFmtId="168" fontId="22" fillId="0" borderId="0" xfId="0" applyNumberFormat="1" applyFont="1"/>
    <xf numFmtId="38" fontId="22" fillId="0" borderId="0" xfId="0" applyNumberFormat="1" applyFont="1" applyAlignment="1">
      <alignment horizontal="left"/>
    </xf>
    <xf numFmtId="0" fontId="22" fillId="0" borderId="0" xfId="0" applyFont="1"/>
    <xf numFmtId="170" fontId="16" fillId="0" borderId="6" xfId="0" applyNumberFormat="1" applyFont="1" applyBorder="1" applyAlignment="1">
      <alignment vertical="center"/>
    </xf>
    <xf numFmtId="171" fontId="22" fillId="0" borderId="0" xfId="0" applyNumberFormat="1" applyFont="1" applyAlignment="1">
      <alignment vertical="center"/>
    </xf>
    <xf numFmtId="170" fontId="26" fillId="0" borderId="6" xfId="0" applyNumberFormat="1" applyFont="1" applyBorder="1" applyAlignment="1">
      <alignment vertical="center"/>
    </xf>
    <xf numFmtId="0" fontId="0" fillId="0" borderId="24" xfId="0" applyFont="1" applyBorder="1"/>
    <xf numFmtId="0" fontId="22" fillId="0" borderId="24" xfId="0" applyFont="1" applyBorder="1"/>
    <xf numFmtId="9" fontId="22" fillId="6" borderId="23" xfId="0" applyNumberFormat="1" applyFont="1" applyFill="1" applyBorder="1"/>
    <xf numFmtId="167" fontId="17" fillId="0" borderId="0" xfId="0" applyNumberFormat="1" applyFont="1"/>
    <xf numFmtId="9" fontId="17" fillId="6" borderId="23" xfId="0" applyNumberFormat="1" applyFont="1" applyFill="1" applyBorder="1"/>
    <xf numFmtId="0" fontId="17" fillId="6" borderId="23" xfId="0" applyFont="1" applyFill="1" applyBorder="1"/>
    <xf numFmtId="166" fontId="17" fillId="0" borderId="0" xfId="0" applyNumberFormat="1" applyFont="1"/>
    <xf numFmtId="171" fontId="17" fillId="0" borderId="0" xfId="0" applyNumberFormat="1" applyFont="1"/>
    <xf numFmtId="0" fontId="15" fillId="8" borderId="6" xfId="0" applyFont="1" applyFill="1" applyBorder="1" applyAlignment="1">
      <alignment horizontal="right"/>
    </xf>
    <xf numFmtId="2" fontId="15" fillId="8" borderId="6" xfId="0" applyNumberFormat="1" applyFont="1" applyFill="1" applyBorder="1" applyAlignment="1">
      <alignment horizontal="right"/>
    </xf>
    <xf numFmtId="2" fontId="17" fillId="0" borderId="0" xfId="0" applyNumberFormat="1" applyFont="1"/>
    <xf numFmtId="0" fontId="8" fillId="0" borderId="0" xfId="0" applyFont="1"/>
    <xf numFmtId="0" fontId="15" fillId="9" borderId="6" xfId="0" applyFont="1" applyFill="1" applyBorder="1"/>
    <xf numFmtId="0" fontId="15" fillId="9" borderId="6" xfId="0" applyFont="1" applyFill="1" applyBorder="1" applyAlignment="1">
      <alignment horizontal="center"/>
    </xf>
    <xf numFmtId="0" fontId="16" fillId="5" borderId="23" xfId="0" applyFont="1" applyFill="1" applyBorder="1"/>
    <xf numFmtId="9" fontId="17" fillId="0" borderId="6" xfId="0" applyNumberFormat="1" applyFont="1" applyBorder="1"/>
    <xf numFmtId="0" fontId="26" fillId="5" borderId="6" xfId="0" applyFont="1" applyFill="1" applyBorder="1"/>
    <xf numFmtId="0" fontId="26" fillId="9" borderId="6" xfId="0" applyFont="1" applyFill="1" applyBorder="1"/>
    <xf numFmtId="0" fontId="16" fillId="5" borderId="6" xfId="0" applyFont="1" applyFill="1" applyBorder="1"/>
    <xf numFmtId="167" fontId="16" fillId="5" borderId="6" xfId="0" applyNumberFormat="1" applyFont="1" applyFill="1" applyBorder="1"/>
    <xf numFmtId="2" fontId="16" fillId="5" borderId="6" xfId="0" applyNumberFormat="1" applyFont="1" applyFill="1" applyBorder="1"/>
    <xf numFmtId="172" fontId="16" fillId="5" borderId="6" xfId="0" applyNumberFormat="1" applyFont="1" applyFill="1" applyBorder="1"/>
    <xf numFmtId="0" fontId="0" fillId="0" borderId="6" xfId="0" applyFont="1" applyBorder="1"/>
    <xf numFmtId="9" fontId="17" fillId="6" borderId="6" xfId="0" applyNumberFormat="1" applyFont="1" applyFill="1" applyBorder="1"/>
    <xf numFmtId="2" fontId="26" fillId="5" borderId="6" xfId="0" applyNumberFormat="1" applyFont="1" applyFill="1" applyBorder="1"/>
    <xf numFmtId="9" fontId="17" fillId="5" borderId="6" xfId="0" applyNumberFormat="1" applyFont="1" applyFill="1" applyBorder="1"/>
    <xf numFmtId="0" fontId="30" fillId="0" borderId="0" xfId="0" applyFont="1"/>
    <xf numFmtId="0" fontId="0" fillId="0" borderId="0" xfId="0" applyFont="1"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7" fontId="16"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167" fontId="17" fillId="0" borderId="6" xfId="0" applyNumberFormat="1" applyFont="1" applyBorder="1" applyAlignment="1">
      <alignment horizontal="right"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0" fontId="18" fillId="5" borderId="5" xfId="0" applyFont="1" applyFill="1" applyBorder="1" applyAlignment="1">
      <alignment horizontal="center" vertical="center" wrapText="1"/>
    </xf>
    <xf numFmtId="167" fontId="18" fillId="0" borderId="6" xfId="0" applyNumberFormat="1" applyFont="1" applyBorder="1" applyAlignment="1">
      <alignment horizontal="right" vertical="center" wrapText="1"/>
    </xf>
    <xf numFmtId="0" fontId="17" fillId="0" borderId="6" xfId="0" applyFont="1" applyBorder="1" applyAlignment="1">
      <alignment horizontal="right" vertical="center" wrapText="1"/>
    </xf>
    <xf numFmtId="9" fontId="18" fillId="6" borderId="6" xfId="0" applyNumberFormat="1" applyFont="1" applyFill="1" applyBorder="1" applyAlignment="1">
      <alignment horizontal="center" vertical="center" wrapText="1"/>
    </xf>
    <xf numFmtId="164" fontId="0" fillId="0" borderId="0" xfId="0" applyNumberFormat="1" applyFont="1"/>
    <xf numFmtId="9" fontId="0" fillId="0" borderId="0" xfId="0" applyNumberFormat="1" applyFont="1"/>
    <xf numFmtId="167" fontId="0" fillId="0" borderId="0" xfId="0" applyNumberFormat="1" applyFont="1"/>
    <xf numFmtId="167" fontId="2" fillId="0" borderId="0" xfId="0" applyNumberFormat="1" applyFont="1"/>
    <xf numFmtId="0" fontId="33" fillId="0" borderId="0" xfId="0" applyFont="1"/>
    <xf numFmtId="0" fontId="27" fillId="0" borderId="0" xfId="0" applyFont="1" applyAlignment="1">
      <alignment vertical="center"/>
    </xf>
    <xf numFmtId="0" fontId="5" fillId="0" borderId="0" xfId="0" applyFont="1"/>
    <xf numFmtId="0" fontId="34" fillId="0" borderId="0" xfId="0" applyFont="1" applyAlignment="1">
      <alignment vertical="center"/>
    </xf>
    <xf numFmtId="0" fontId="22" fillId="0" borderId="0" xfId="0" applyFont="1" applyAlignment="1">
      <alignment vertical="center"/>
    </xf>
    <xf numFmtId="0" fontId="15" fillId="8" borderId="30" xfId="0" applyFont="1" applyFill="1" applyBorder="1" applyAlignment="1">
      <alignment vertical="center"/>
    </xf>
    <xf numFmtId="0" fontId="15" fillId="8" borderId="31" xfId="0" applyFont="1" applyFill="1" applyBorder="1" applyAlignment="1">
      <alignment horizontal="center"/>
    </xf>
    <xf numFmtId="0" fontId="16" fillId="0" borderId="32" xfId="0" applyFont="1" applyBorder="1" applyAlignment="1">
      <alignment vertical="center"/>
    </xf>
    <xf numFmtId="37" fontId="26" fillId="0" borderId="6" xfId="0" applyNumberFormat="1" applyFont="1" applyBorder="1" applyAlignment="1">
      <alignment vertical="center"/>
    </xf>
    <xf numFmtId="3" fontId="35" fillId="0" borderId="6" xfId="0" applyNumberFormat="1" applyFont="1" applyBorder="1" applyAlignment="1">
      <alignment horizontal="right" vertical="center"/>
    </xf>
    <xf numFmtId="0" fontId="36" fillId="0" borderId="32" xfId="0" applyFont="1" applyBorder="1" applyAlignment="1">
      <alignment vertical="center"/>
    </xf>
    <xf numFmtId="4" fontId="16" fillId="0" borderId="6" xfId="0" applyNumberFormat="1" applyFont="1" applyBorder="1" applyAlignment="1">
      <alignment vertical="center"/>
    </xf>
    <xf numFmtId="0" fontId="26" fillId="0" borderId="32" xfId="0" applyFont="1" applyBorder="1" applyAlignment="1">
      <alignment horizontal="left" vertical="center"/>
    </xf>
    <xf numFmtId="4" fontId="37" fillId="0" borderId="6" xfId="0" applyNumberFormat="1" applyFont="1" applyBorder="1" applyAlignment="1">
      <alignment vertical="center"/>
    </xf>
    <xf numFmtId="3" fontId="26" fillId="0" borderId="6" xfId="0" applyNumberFormat="1" applyFont="1" applyBorder="1" applyAlignment="1">
      <alignment vertical="center"/>
    </xf>
    <xf numFmtId="3" fontId="27" fillId="0" borderId="0" xfId="0" applyNumberFormat="1" applyFont="1" applyAlignment="1">
      <alignment vertical="center"/>
    </xf>
    <xf numFmtId="0" fontId="16" fillId="0" borderId="32" xfId="0" applyFont="1" applyBorder="1" applyAlignment="1">
      <alignment horizontal="left" vertical="center"/>
    </xf>
    <xf numFmtId="3" fontId="16" fillId="0" borderId="6" xfId="0" applyNumberFormat="1" applyFont="1" applyBorder="1" applyAlignment="1">
      <alignment vertical="center"/>
    </xf>
    <xf numFmtId="0" fontId="26" fillId="0" borderId="32" xfId="0" applyFont="1" applyBorder="1" applyAlignment="1">
      <alignment vertical="center"/>
    </xf>
    <xf numFmtId="3" fontId="37" fillId="0" borderId="6" xfId="0" applyNumberFormat="1" applyFont="1" applyBorder="1" applyAlignment="1">
      <alignment vertical="center"/>
    </xf>
    <xf numFmtId="3" fontId="35" fillId="0" borderId="6" xfId="0" applyNumberFormat="1" applyFont="1" applyBorder="1" applyAlignment="1">
      <alignment vertical="center"/>
    </xf>
    <xf numFmtId="0" fontId="18" fillId="0" borderId="32" xfId="0" applyFont="1" applyBorder="1" applyAlignment="1">
      <alignment vertical="center"/>
    </xf>
    <xf numFmtId="3" fontId="18" fillId="0" borderId="6" xfId="0" applyNumberFormat="1" applyFont="1" applyBorder="1" applyAlignment="1">
      <alignment vertical="center"/>
    </xf>
    <xf numFmtId="0" fontId="38" fillId="0" borderId="32" xfId="0" applyFont="1" applyBorder="1" applyAlignment="1">
      <alignment vertical="center"/>
    </xf>
    <xf numFmtId="4" fontId="39" fillId="0" borderId="6" xfId="0" applyNumberFormat="1" applyFont="1" applyBorder="1" applyAlignment="1">
      <alignment vertical="center"/>
    </xf>
    <xf numFmtId="0" fontId="40" fillId="0" borderId="32" xfId="0" applyFont="1" applyBorder="1" applyAlignment="1">
      <alignment vertical="center"/>
    </xf>
    <xf numFmtId="4" fontId="40" fillId="0" borderId="6" xfId="0" applyNumberFormat="1" applyFont="1" applyBorder="1" applyAlignment="1">
      <alignment vertical="center"/>
    </xf>
    <xf numFmtId="0" fontId="40" fillId="0" borderId="33" xfId="0" applyFont="1" applyBorder="1" applyAlignment="1">
      <alignment vertical="center"/>
    </xf>
    <xf numFmtId="4" fontId="40" fillId="0" borderId="34" xfId="0" applyNumberFormat="1" applyFont="1" applyBorder="1" applyAlignment="1">
      <alignment vertical="center"/>
    </xf>
    <xf numFmtId="4" fontId="27" fillId="0" borderId="0" xfId="0" applyNumberFormat="1" applyFont="1" applyAlignment="1">
      <alignment vertical="center"/>
    </xf>
    <xf numFmtId="0" fontId="15" fillId="8" borderId="6" xfId="0" applyFont="1" applyFill="1" applyBorder="1" applyAlignment="1">
      <alignment wrapText="1"/>
    </xf>
    <xf numFmtId="0" fontId="18" fillId="0" borderId="6" xfId="0" applyFont="1" applyBorder="1" applyAlignment="1">
      <alignment wrapText="1"/>
    </xf>
    <xf numFmtId="167" fontId="17" fillId="0" borderId="6" xfId="0" applyNumberFormat="1" applyFont="1" applyBorder="1" applyAlignment="1">
      <alignment wrapText="1"/>
    </xf>
    <xf numFmtId="0" fontId="17" fillId="0" borderId="6" xfId="0" applyFont="1" applyBorder="1" applyAlignment="1">
      <alignment horizontal="left" wrapText="1"/>
    </xf>
    <xf numFmtId="167" fontId="18" fillId="0" borderId="6" xfId="0" applyNumberFormat="1" applyFont="1" applyBorder="1" applyAlignment="1">
      <alignment wrapText="1"/>
    </xf>
    <xf numFmtId="0" fontId="17" fillId="0" borderId="6" xfId="0" applyFont="1" applyBorder="1" applyAlignment="1">
      <alignment wrapText="1"/>
    </xf>
    <xf numFmtId="0" fontId="17" fillId="0" borderId="6" xfId="0" applyFont="1" applyBorder="1" applyAlignment="1">
      <alignment horizontal="right" wrapText="1"/>
    </xf>
    <xf numFmtId="168" fontId="17" fillId="0" borderId="6" xfId="0" applyNumberFormat="1" applyFont="1" applyBorder="1" applyAlignment="1">
      <alignment wrapText="1"/>
    </xf>
    <xf numFmtId="0" fontId="18" fillId="0" borderId="6" xfId="0" applyFont="1" applyBorder="1" applyAlignment="1">
      <alignment horizontal="right" wrapText="1"/>
    </xf>
    <xf numFmtId="167" fontId="17" fillId="11" borderId="6" xfId="0" applyNumberFormat="1" applyFont="1" applyFill="1" applyBorder="1" applyAlignment="1">
      <alignment wrapText="1"/>
    </xf>
    <xf numFmtId="0" fontId="18" fillId="0" borderId="6" xfId="0" applyFont="1" applyBorder="1" applyAlignment="1">
      <alignment horizontal="left" wrapText="1"/>
    </xf>
    <xf numFmtId="0" fontId="42" fillId="0" borderId="0" xfId="0" applyFont="1"/>
    <xf numFmtId="0" fontId="29" fillId="9" borderId="6" xfId="0" applyFont="1" applyFill="1" applyBorder="1" applyAlignment="1">
      <alignment horizontal="left"/>
    </xf>
    <xf numFmtId="0" fontId="43" fillId="9" borderId="6" xfId="0" applyFont="1" applyFill="1" applyBorder="1" applyAlignment="1">
      <alignment horizontal="center"/>
    </xf>
    <xf numFmtId="0" fontId="44" fillId="9" borderId="35" xfId="0" applyFont="1" applyFill="1" applyBorder="1" applyAlignment="1">
      <alignment horizontal="center"/>
    </xf>
    <xf numFmtId="4" fontId="17" fillId="0" borderId="6" xfId="0" applyNumberFormat="1" applyFont="1" applyBorder="1"/>
    <xf numFmtId="173" fontId="17" fillId="0" borderId="6" xfId="0" applyNumberFormat="1" applyFont="1" applyBorder="1"/>
    <xf numFmtId="10" fontId="17" fillId="0" borderId="6" xfId="0" applyNumberFormat="1" applyFont="1" applyBorder="1"/>
    <xf numFmtId="0" fontId="17" fillId="0" borderId="6" xfId="0" quotePrefix="1" applyFont="1" applyBorder="1" applyAlignment="1">
      <alignment horizontal="left"/>
    </xf>
    <xf numFmtId="4" fontId="45" fillId="0" borderId="6" xfId="0" applyNumberFormat="1" applyFont="1" applyBorder="1"/>
    <xf numFmtId="4" fontId="0" fillId="0" borderId="6" xfId="0" applyNumberFormat="1" applyFont="1" applyBorder="1"/>
    <xf numFmtId="4" fontId="0" fillId="0" borderId="0" xfId="0" applyNumberFormat="1" applyFont="1"/>
    <xf numFmtId="10" fontId="0" fillId="0" borderId="0" xfId="0" applyNumberFormat="1" applyFont="1"/>
    <xf numFmtId="0" fontId="29" fillId="9" borderId="6" xfId="0" applyFont="1" applyFill="1" applyBorder="1"/>
    <xf numFmtId="0" fontId="29" fillId="9" borderId="6" xfId="0" applyFont="1" applyFill="1" applyBorder="1" applyAlignment="1">
      <alignment horizontal="center"/>
    </xf>
    <xf numFmtId="2" fontId="17" fillId="0" borderId="6" xfId="0" applyNumberFormat="1" applyFont="1" applyBorder="1"/>
    <xf numFmtId="10" fontId="18" fillId="0" borderId="0" xfId="0" applyNumberFormat="1" applyFont="1"/>
    <xf numFmtId="3" fontId="17" fillId="0" borderId="6" xfId="0" applyNumberFormat="1" applyFont="1" applyBorder="1"/>
    <xf numFmtId="0" fontId="45" fillId="0" borderId="6" xfId="0" applyFont="1" applyBorder="1"/>
    <xf numFmtId="0" fontId="45" fillId="0" borderId="0" xfId="0" applyFont="1"/>
    <xf numFmtId="43" fontId="17" fillId="0" borderId="0" xfId="0" applyNumberFormat="1" applyFont="1"/>
    <xf numFmtId="0" fontId="48" fillId="9" borderId="6" xfId="0" applyFont="1" applyFill="1" applyBorder="1" applyAlignment="1">
      <alignment horizontal="center"/>
    </xf>
    <xf numFmtId="0" fontId="49" fillId="0" borderId="6" xfId="0" applyFont="1" applyBorder="1" applyAlignment="1">
      <alignment horizontal="center"/>
    </xf>
    <xf numFmtId="0" fontId="50" fillId="0" borderId="6" xfId="0" applyFont="1" applyBorder="1" applyAlignment="1">
      <alignment horizontal="center"/>
    </xf>
    <xf numFmtId="0" fontId="18" fillId="0" borderId="6" xfId="0" applyFont="1" applyBorder="1" applyAlignment="1">
      <alignment horizontal="center" vertical="center"/>
    </xf>
    <xf numFmtId="0" fontId="17" fillId="0" borderId="6" xfId="0" applyFont="1" applyBorder="1" applyAlignment="1">
      <alignment horizontal="center"/>
    </xf>
    <xf numFmtId="0" fontId="16" fillId="0" borderId="6" xfId="0" applyFont="1" applyBorder="1" applyAlignment="1">
      <alignment horizontal="center"/>
    </xf>
    <xf numFmtId="167" fontId="17" fillId="0" borderId="6" xfId="0" applyNumberFormat="1" applyFont="1" applyBorder="1" applyAlignment="1">
      <alignment horizontal="center"/>
    </xf>
    <xf numFmtId="167" fontId="0" fillId="0" borderId="6" xfId="0" applyNumberFormat="1" applyFont="1" applyBorder="1"/>
    <xf numFmtId="0" fontId="0" fillId="0" borderId="6" xfId="0" applyFont="1" applyBorder="1" applyAlignment="1">
      <alignment horizontal="center" vertical="center"/>
    </xf>
    <xf numFmtId="167" fontId="5" fillId="0" borderId="6" xfId="0" applyNumberFormat="1" applyFont="1" applyBorder="1"/>
    <xf numFmtId="2" fontId="5" fillId="0" borderId="6" xfId="0" applyNumberFormat="1" applyFont="1" applyBorder="1"/>
    <xf numFmtId="2" fontId="5" fillId="0" borderId="0" xfId="0" applyNumberFormat="1" applyFont="1"/>
    <xf numFmtId="2" fontId="18" fillId="0" borderId="6" xfId="0" applyNumberFormat="1" applyFont="1" applyBorder="1"/>
    <xf numFmtId="9" fontId="5" fillId="6" borderId="23" xfId="0" applyNumberFormat="1" applyFont="1" applyFill="1" applyBorder="1"/>
    <xf numFmtId="174" fontId="17" fillId="0" borderId="0" xfId="0" applyNumberFormat="1" applyFont="1"/>
    <xf numFmtId="174" fontId="17" fillId="0" borderId="6" xfId="0" applyNumberFormat="1" applyFont="1" applyBorder="1"/>
    <xf numFmtId="175" fontId="17" fillId="0" borderId="6" xfId="0" applyNumberFormat="1" applyFont="1" applyBorder="1"/>
    <xf numFmtId="164" fontId="17" fillId="0" borderId="6" xfId="0" applyNumberFormat="1" applyFont="1" applyBorder="1"/>
    <xf numFmtId="43" fontId="18" fillId="0" borderId="6" xfId="0" applyNumberFormat="1" applyFont="1" applyBorder="1"/>
    <xf numFmtId="174" fontId="18" fillId="0" borderId="6" xfId="0" applyNumberFormat="1" applyFont="1" applyBorder="1"/>
    <xf numFmtId="0" fontId="51" fillId="0" borderId="0" xfId="0" applyFont="1"/>
    <xf numFmtId="0" fontId="52" fillId="9" borderId="6" xfId="0" applyFont="1" applyFill="1" applyBorder="1"/>
    <xf numFmtId="0" fontId="52" fillId="9" borderId="6" xfId="0" applyFont="1" applyFill="1" applyBorder="1" applyAlignment="1">
      <alignment horizontal="center"/>
    </xf>
    <xf numFmtId="0" fontId="52" fillId="0" borderId="0" xfId="0" applyFont="1" applyAlignment="1">
      <alignment horizontal="center"/>
    </xf>
    <xf numFmtId="0" fontId="0" fillId="5" borderId="6" xfId="0" applyFont="1" applyFill="1" applyBorder="1"/>
    <xf numFmtId="1" fontId="0" fillId="0" borderId="0" xfId="0" applyNumberFormat="1" applyFont="1"/>
    <xf numFmtId="0" fontId="5" fillId="0" borderId="6" xfId="0" applyFont="1" applyBorder="1"/>
    <xf numFmtId="167" fontId="5" fillId="0" borderId="0" xfId="0" applyNumberFormat="1" applyFont="1"/>
    <xf numFmtId="0" fontId="5" fillId="5" borderId="6" xfId="0" applyFont="1" applyFill="1" applyBorder="1"/>
    <xf numFmtId="176" fontId="0" fillId="0" borderId="0" xfId="0" applyNumberFormat="1" applyFont="1"/>
    <xf numFmtId="0" fontId="52" fillId="9" borderId="6" xfId="0" applyFont="1" applyFill="1" applyBorder="1" applyAlignment="1">
      <alignment wrapText="1"/>
    </xf>
    <xf numFmtId="0" fontId="5" fillId="0" borderId="24" xfId="0" applyFont="1" applyBorder="1" applyAlignment="1">
      <alignment wrapText="1"/>
    </xf>
    <xf numFmtId="9" fontId="0" fillId="5" borderId="6" xfId="0" applyNumberFormat="1" applyFont="1" applyFill="1" applyBorder="1"/>
    <xf numFmtId="0" fontId="0" fillId="6" borderId="6" xfId="0" applyFont="1" applyFill="1" applyBorder="1"/>
    <xf numFmtId="9" fontId="0" fillId="6" borderId="6" xfId="0" applyNumberFormat="1" applyFont="1" applyFill="1" applyBorder="1"/>
    <xf numFmtId="0" fontId="0" fillId="0" borderId="9" xfId="0" applyFont="1" applyBorder="1" applyAlignment="1">
      <alignment horizontal="center" vertical="center"/>
    </xf>
    <xf numFmtId="0" fontId="0" fillId="0" borderId="8" xfId="0" applyFont="1" applyBorder="1" applyAlignment="1">
      <alignment vertical="center" wrapText="1"/>
    </xf>
    <xf numFmtId="0" fontId="0" fillId="0" borderId="9" xfId="0" applyFont="1" applyBorder="1" applyAlignment="1">
      <alignment vertical="center" wrapText="1"/>
    </xf>
    <xf numFmtId="9" fontId="52" fillId="6" borderId="6" xfId="0" applyNumberFormat="1" applyFont="1" applyFill="1" applyBorder="1"/>
    <xf numFmtId="9" fontId="52" fillId="6" borderId="6" xfId="0" applyNumberFormat="1" applyFont="1" applyFill="1" applyBorder="1" applyAlignment="1">
      <alignment horizontal="center"/>
    </xf>
    <xf numFmtId="9" fontId="53" fillId="6" borderId="6" xfId="0" applyNumberFormat="1" applyFont="1" applyFill="1" applyBorder="1"/>
    <xf numFmtId="176" fontId="53" fillId="6" borderId="6" xfId="0" applyNumberFormat="1" applyFont="1" applyFill="1" applyBorder="1"/>
    <xf numFmtId="0" fontId="5" fillId="0" borderId="9" xfId="0" applyFont="1" applyBorder="1" applyAlignment="1">
      <alignment horizontal="center" vertical="center"/>
    </xf>
    <xf numFmtId="0" fontId="17" fillId="5" borderId="23" xfId="0" applyFont="1" applyFill="1" applyBorder="1"/>
    <xf numFmtId="9" fontId="0" fillId="0" borderId="6" xfId="0" applyNumberFormat="1" applyFont="1" applyBorder="1"/>
    <xf numFmtId="168" fontId="18" fillId="0" borderId="6" xfId="0" applyNumberFormat="1" applyFont="1" applyBorder="1"/>
    <xf numFmtId="0" fontId="18" fillId="6" borderId="6" xfId="0" applyFont="1" applyFill="1" applyBorder="1"/>
    <xf numFmtId="9" fontId="18" fillId="6" borderId="6" xfId="0" applyNumberFormat="1" applyFont="1" applyFill="1" applyBorder="1"/>
    <xf numFmtId="168" fontId="18" fillId="6" borderId="6" xfId="0" applyNumberFormat="1" applyFont="1" applyFill="1" applyBorder="1"/>
    <xf numFmtId="168" fontId="17" fillId="0" borderId="6" xfId="0" applyNumberFormat="1" applyFont="1" applyBorder="1"/>
    <xf numFmtId="9" fontId="18" fillId="0" borderId="0" xfId="0" applyNumberFormat="1" applyFont="1" applyAlignment="1">
      <alignment horizontal="center"/>
    </xf>
    <xf numFmtId="10" fontId="18" fillId="0" borderId="0" xfId="0" applyNumberFormat="1" applyFont="1" applyAlignment="1">
      <alignment horizontal="center"/>
    </xf>
    <xf numFmtId="167" fontId="18" fillId="5" borderId="6" xfId="0" applyNumberFormat="1" applyFont="1" applyFill="1" applyBorder="1"/>
    <xf numFmtId="174" fontId="18" fillId="5" borderId="6" xfId="0" applyNumberFormat="1" applyFont="1" applyFill="1" applyBorder="1"/>
    <xf numFmtId="164" fontId="17" fillId="0" borderId="0" xfId="0" applyNumberFormat="1" applyFont="1"/>
    <xf numFmtId="1" fontId="17" fillId="0" borderId="6" xfId="0" applyNumberFormat="1" applyFont="1" applyBorder="1"/>
    <xf numFmtId="0" fontId="17" fillId="6" borderId="6" xfId="0" applyFont="1" applyFill="1" applyBorder="1"/>
    <xf numFmtId="167" fontId="0" fillId="0" borderId="2" xfId="0" applyNumberFormat="1" applyFont="1" applyBorder="1"/>
    <xf numFmtId="0" fontId="17" fillId="5" borderId="6" xfId="0" applyFont="1" applyFill="1" applyBorder="1" applyAlignment="1">
      <alignment wrapText="1"/>
    </xf>
    <xf numFmtId="169" fontId="17" fillId="5" borderId="23" xfId="0" applyNumberFormat="1" applyFont="1" applyFill="1" applyBorder="1"/>
    <xf numFmtId="169" fontId="17" fillId="0" borderId="0" xfId="0" applyNumberFormat="1" applyFont="1"/>
    <xf numFmtId="1" fontId="17" fillId="0" borderId="0" xfId="0" applyNumberFormat="1" applyFont="1"/>
    <xf numFmtId="0" fontId="52" fillId="9" borderId="10" xfId="0" applyFont="1" applyFill="1" applyBorder="1" applyAlignment="1">
      <alignment wrapText="1"/>
    </xf>
    <xf numFmtId="0" fontId="0" fillId="0" borderId="6" xfId="0" applyFont="1" applyBorder="1" applyAlignment="1">
      <alignment horizontal="center"/>
    </xf>
    <xf numFmtId="167" fontId="17" fillId="5" borderId="6" xfId="0" applyNumberFormat="1" applyFont="1" applyFill="1" applyBorder="1" applyAlignment="1">
      <alignment wrapText="1"/>
    </xf>
    <xf numFmtId="167" fontId="18" fillId="0" borderId="0" xfId="0" applyNumberFormat="1" applyFont="1"/>
    <xf numFmtId="168" fontId="17" fillId="5" borderId="6" xfId="0" applyNumberFormat="1" applyFont="1" applyFill="1" applyBorder="1"/>
    <xf numFmtId="168" fontId="17" fillId="0" borderId="0" xfId="0" applyNumberFormat="1" applyFont="1"/>
    <xf numFmtId="167" fontId="17" fillId="0" borderId="4" xfId="0" applyNumberFormat="1" applyFont="1" applyBorder="1"/>
    <xf numFmtId="177" fontId="0" fillId="0" borderId="0" xfId="0" applyNumberFormat="1" applyFont="1" applyAlignment="1"/>
    <xf numFmtId="0" fontId="0" fillId="0" borderId="0" xfId="0" applyFont="1" applyAlignment="1"/>
    <xf numFmtId="0" fontId="0" fillId="0" borderId="0" xfId="0" applyFont="1" applyAlignment="1"/>
    <xf numFmtId="0" fontId="22" fillId="0" borderId="0" xfId="0" applyFont="1" applyAlignment="1">
      <alignment horizontal="center"/>
    </xf>
    <xf numFmtId="0" fontId="13" fillId="0" borderId="0" xfId="0" applyFont="1" applyAlignment="1"/>
    <xf numFmtId="0" fontId="0" fillId="0" borderId="0" xfId="0" applyFont="1" applyAlignment="1"/>
    <xf numFmtId="0" fontId="15" fillId="8" borderId="6" xfId="0" applyFont="1" applyFill="1" applyBorder="1" applyAlignment="1">
      <alignment horizontal="center" vertical="center"/>
    </xf>
    <xf numFmtId="0" fontId="0" fillId="0" borderId="0" xfId="0" applyFont="1" applyAlignment="1">
      <alignment horizontal="center" vertical="center"/>
    </xf>
    <xf numFmtId="0" fontId="8" fillId="0" borderId="0" xfId="0" applyFont="1" applyAlignment="1"/>
    <xf numFmtId="0" fontId="22" fillId="0" borderId="0" xfId="0" applyFont="1" applyAlignment="1"/>
    <xf numFmtId="0" fontId="23" fillId="0" borderId="0" xfId="0" applyFont="1" applyAlignment="1"/>
    <xf numFmtId="0" fontId="18" fillId="0" borderId="27" xfId="0" applyFont="1" applyBorder="1" applyAlignment="1"/>
    <xf numFmtId="0" fontId="2" fillId="0" borderId="27" xfId="0" applyFont="1" applyBorder="1" applyAlignment="1"/>
    <xf numFmtId="0" fontId="5" fillId="0" borderId="27" xfId="0" applyFont="1" applyBorder="1" applyAlignment="1"/>
    <xf numFmtId="0" fontId="22" fillId="0" borderId="0" xfId="0" applyFont="1" applyAlignment="1">
      <alignment vertical="center" wrapText="1"/>
    </xf>
    <xf numFmtId="168" fontId="55" fillId="5" borderId="6" xfId="0" applyNumberFormat="1" applyFont="1" applyFill="1" applyBorder="1" applyAlignment="1">
      <alignment horizontal="right" vertical="center" wrapText="1"/>
    </xf>
    <xf numFmtId="0" fontId="56" fillId="5" borderId="6" xfId="0" applyFont="1" applyFill="1" applyBorder="1" applyAlignment="1">
      <alignment vertical="center" wrapText="1"/>
    </xf>
    <xf numFmtId="167" fontId="56" fillId="5" borderId="6" xfId="0" applyNumberFormat="1" applyFont="1" applyFill="1" applyBorder="1" applyAlignment="1">
      <alignment horizontal="right" vertical="center" wrapText="1"/>
    </xf>
    <xf numFmtId="0" fontId="57" fillId="5" borderId="6" xfId="0" applyFont="1" applyFill="1" applyBorder="1"/>
    <xf numFmtId="0" fontId="56" fillId="0" borderId="6" xfId="0" applyFont="1" applyBorder="1"/>
    <xf numFmtId="0" fontId="56" fillId="5" borderId="6" xfId="0" applyFont="1" applyFill="1" applyBorder="1"/>
    <xf numFmtId="0" fontId="55" fillId="5" borderId="6" xfId="0" applyFont="1" applyFill="1" applyBorder="1" applyAlignment="1">
      <alignment vertical="center" wrapText="1"/>
    </xf>
    <xf numFmtId="167" fontId="0" fillId="0" borderId="0" xfId="0" applyNumberFormat="1" applyFont="1" applyAlignment="1"/>
    <xf numFmtId="0" fontId="0" fillId="0" borderId="0" xfId="0" applyFont="1" applyAlignment="1"/>
    <xf numFmtId="0" fontId="8" fillId="0" borderId="0" xfId="0" applyFont="1" applyAlignment="1">
      <alignment horizontal="center"/>
    </xf>
    <xf numFmtId="0" fontId="2" fillId="0" borderId="25" xfId="0" applyFont="1" applyBorder="1"/>
    <xf numFmtId="0" fontId="5" fillId="0" borderId="0" xfId="0" applyFont="1" applyAlignment="1">
      <alignment horizontal="center" wrapText="1"/>
    </xf>
    <xf numFmtId="0" fontId="0" fillId="0" borderId="0" xfId="0" applyFont="1" applyAlignment="1">
      <alignment horizontal="center"/>
    </xf>
    <xf numFmtId="0" fontId="0" fillId="0" borderId="0" xfId="0" applyFont="1" applyAlignment="1"/>
    <xf numFmtId="0" fontId="55" fillId="5" borderId="6" xfId="0" applyFont="1" applyFill="1" applyBorder="1" applyAlignment="1">
      <alignment horizontal="center" vertical="center" wrapText="1"/>
    </xf>
    <xf numFmtId="0" fontId="59" fillId="5" borderId="6" xfId="0" applyFont="1" applyFill="1" applyBorder="1" applyAlignment="1">
      <alignment vertical="center" wrapText="1"/>
    </xf>
    <xf numFmtId="0" fontId="15" fillId="8" borderId="6"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0" fillId="0" borderId="0" xfId="0" applyFont="1" applyAlignment="1">
      <alignment horizontal="left"/>
    </xf>
    <xf numFmtId="0" fontId="17" fillId="5" borderId="6"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19" fillId="8"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5" fillId="8" borderId="17"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0" fillId="0" borderId="0" xfId="0" applyFont="1" applyAlignment="1"/>
    <xf numFmtId="165" fontId="0" fillId="0" borderId="0" xfId="1" applyFont="1" applyAlignment="1"/>
    <xf numFmtId="165" fontId="0" fillId="0" borderId="0" xfId="0" applyNumberFormat="1" applyFont="1" applyAlignment="1"/>
    <xf numFmtId="0" fontId="18" fillId="5" borderId="2" xfId="0" applyFont="1" applyFill="1" applyBorder="1" applyAlignment="1">
      <alignment horizontal="left" vertical="center" wrapText="1"/>
    </xf>
    <xf numFmtId="178" fontId="0" fillId="0" borderId="0" xfId="1" applyNumberFormat="1" applyFont="1" applyAlignment="1"/>
    <xf numFmtId="164" fontId="0" fillId="0" borderId="0" xfId="0" applyNumberFormat="1" applyFont="1" applyAlignment="1"/>
    <xf numFmtId="0" fontId="0" fillId="0" borderId="0" xfId="0" applyFont="1" applyAlignment="1"/>
    <xf numFmtId="0" fontId="22" fillId="0" borderId="0" xfId="0" applyFont="1" applyAlignment="1">
      <alignment horizontal="center"/>
    </xf>
    <xf numFmtId="168" fontId="0" fillId="0" borderId="0" xfId="0" applyNumberFormat="1" applyFont="1" applyAlignment="1"/>
    <xf numFmtId="0" fontId="55" fillId="0" borderId="6" xfId="0" applyFont="1" applyBorder="1"/>
    <xf numFmtId="0" fontId="61" fillId="0" borderId="0" xfId="0" applyFont="1" applyAlignment="1"/>
    <xf numFmtId="0" fontId="7" fillId="0" borderId="0" xfId="0" applyFont="1" applyAlignment="1">
      <alignment horizontal="left" vertical="center" wrapText="1"/>
    </xf>
    <xf numFmtId="0" fontId="0" fillId="0" borderId="0" xfId="0" applyFont="1" applyAlignment="1"/>
    <xf numFmtId="0" fontId="1" fillId="0" borderId="1" xfId="0" applyFont="1" applyBorder="1" applyAlignment="1">
      <alignment horizontal="center" vertical="center" wrapText="1"/>
    </xf>
    <xf numFmtId="0" fontId="2" fillId="0" borderId="1" xfId="0" applyFont="1" applyBorder="1"/>
    <xf numFmtId="0" fontId="3"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4" fillId="3"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8" xfId="0" applyFont="1" applyBorder="1" applyAlignment="1">
      <alignment horizontal="left" vertical="center" wrapText="1"/>
    </xf>
    <xf numFmtId="0" fontId="2" fillId="0" borderId="7" xfId="0" applyFont="1" applyBorder="1"/>
    <xf numFmtId="0" fontId="2" fillId="0" borderId="9" xfId="0" applyFont="1" applyBorder="1"/>
    <xf numFmtId="0" fontId="0" fillId="0" borderId="3" xfId="0" applyFont="1" applyBorder="1" applyAlignment="1">
      <alignment horizontal="center" vertical="center" wrapText="1"/>
    </xf>
    <xf numFmtId="0" fontId="4"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9" fillId="9" borderId="12" xfId="0" applyFont="1" applyFill="1" applyBorder="1" applyAlignment="1">
      <alignment horizontal="center" vertical="center" wrapText="1"/>
    </xf>
    <xf numFmtId="0" fontId="2" fillId="0" borderId="13" xfId="0" applyFont="1" applyBorder="1"/>
    <xf numFmtId="0" fontId="8" fillId="0" borderId="0" xfId="0" applyFont="1" applyAlignment="1">
      <alignment horizontal="center"/>
    </xf>
    <xf numFmtId="0" fontId="12" fillId="0" borderId="2" xfId="0" applyFont="1" applyBorder="1" applyAlignment="1">
      <alignment horizontal="center" vertical="center" wrapText="1"/>
    </xf>
    <xf numFmtId="0" fontId="5" fillId="0" borderId="0" xfId="0" applyFont="1" applyAlignment="1">
      <alignment horizontal="center"/>
    </xf>
    <xf numFmtId="0" fontId="18" fillId="0" borderId="21" xfId="0" applyFont="1" applyBorder="1" applyAlignment="1">
      <alignment horizontal="center" vertical="center" wrapText="1"/>
    </xf>
    <xf numFmtId="0" fontId="2" fillId="0" borderId="22" xfId="0" applyFont="1" applyBorder="1"/>
    <xf numFmtId="0" fontId="21" fillId="0" borderId="0" xfId="0" applyFont="1" applyAlignment="1">
      <alignment horizontal="center" wrapText="1"/>
    </xf>
    <xf numFmtId="0" fontId="0" fillId="0" borderId="0" xfId="0" applyFont="1" applyAlignment="1">
      <alignment horizontal="center"/>
    </xf>
    <xf numFmtId="0" fontId="18" fillId="0" borderId="2" xfId="0" applyFont="1" applyBorder="1" applyAlignment="1">
      <alignment horizontal="center" vertical="center" wrapText="1"/>
    </xf>
    <xf numFmtId="0" fontId="5" fillId="6" borderId="14" xfId="0" applyFont="1" applyFill="1" applyBorder="1" applyAlignment="1">
      <alignment horizontal="center"/>
    </xf>
    <xf numFmtId="0" fontId="2" fillId="0" borderId="15" xfId="0" applyFont="1" applyBorder="1"/>
    <xf numFmtId="0" fontId="2" fillId="0" borderId="16" xfId="0" applyFont="1" applyBorder="1"/>
    <xf numFmtId="0" fontId="18" fillId="5"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6" fillId="5" borderId="14" xfId="0" applyFont="1" applyFill="1" applyBorder="1" applyAlignment="1">
      <alignment horizontal="center"/>
    </xf>
    <xf numFmtId="0" fontId="15" fillId="8" borderId="8"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2" fillId="0" borderId="27" xfId="0" applyFont="1" applyBorder="1"/>
    <xf numFmtId="0" fontId="31" fillId="0" borderId="0" xfId="0" applyFont="1" applyAlignment="1">
      <alignment horizontal="center" wrapText="1"/>
    </xf>
    <xf numFmtId="0" fontId="26" fillId="5" borderId="26" xfId="0" applyFont="1" applyFill="1" applyBorder="1" applyAlignment="1">
      <alignment horizontal="center"/>
    </xf>
    <xf numFmtId="0" fontId="32" fillId="0" borderId="0" xfId="0" applyFont="1" applyAlignment="1">
      <alignment horizontal="center" wrapText="1"/>
    </xf>
    <xf numFmtId="0" fontId="22" fillId="0" borderId="0" xfId="0" applyFont="1" applyAlignment="1">
      <alignment horizontal="center"/>
    </xf>
    <xf numFmtId="0" fontId="8" fillId="0" borderId="29" xfId="0" applyFont="1" applyBorder="1" applyAlignment="1">
      <alignment horizontal="center"/>
    </xf>
    <xf numFmtId="0" fontId="41" fillId="0" borderId="0" xfId="0" applyFont="1" applyAlignment="1">
      <alignment horizontal="center" wrapText="1"/>
    </xf>
    <xf numFmtId="0" fontId="18" fillId="0" borderId="2" xfId="0" applyFont="1" applyBorder="1" applyAlignment="1">
      <alignment horizontal="center" wrapText="1"/>
    </xf>
    <xf numFmtId="0" fontId="20" fillId="0" borderId="0" xfId="0" applyFont="1" applyAlignment="1">
      <alignment horizontal="center" wrapText="1"/>
    </xf>
    <xf numFmtId="0" fontId="51" fillId="0" borderId="0" xfId="0" applyFont="1" applyAlignment="1">
      <alignment horizontal="center" wrapText="1"/>
    </xf>
    <xf numFmtId="0" fontId="7" fillId="0" borderId="0" xfId="0" applyFont="1" applyAlignment="1">
      <alignment horizontal="center"/>
    </xf>
    <xf numFmtId="4" fontId="17" fillId="0" borderId="2" xfId="0" applyNumberFormat="1" applyFont="1" applyBorder="1" applyAlignment="1">
      <alignment horizontal="center"/>
    </xf>
    <xf numFmtId="0" fontId="21" fillId="0" borderId="0" xfId="0" applyFont="1" applyAlignment="1">
      <alignment horizontal="center"/>
    </xf>
    <xf numFmtId="10" fontId="18" fillId="0" borderId="2" xfId="0" applyNumberFormat="1" applyFont="1" applyBorder="1" applyAlignment="1">
      <alignment horizontal="center"/>
    </xf>
    <xf numFmtId="4" fontId="17" fillId="0" borderId="0" xfId="0" applyNumberFormat="1" applyFont="1" applyAlignment="1">
      <alignment horizontal="center"/>
    </xf>
    <xf numFmtId="0" fontId="46" fillId="0" borderId="0" xfId="0" applyFont="1" applyAlignment="1">
      <alignment horizontal="center" wrapText="1"/>
    </xf>
    <xf numFmtId="0" fontId="47" fillId="0" borderId="0" xfId="0" applyFont="1" applyAlignment="1">
      <alignment horizontal="center" wrapText="1"/>
    </xf>
    <xf numFmtId="0" fontId="8" fillId="0" borderId="36" xfId="0" applyFont="1" applyBorder="1" applyAlignment="1">
      <alignment horizontal="center"/>
    </xf>
    <xf numFmtId="2" fontId="17" fillId="0" borderId="2" xfId="0" applyNumberFormat="1" applyFont="1" applyBorder="1" applyAlignment="1">
      <alignment horizontal="center"/>
    </xf>
    <xf numFmtId="0" fontId="52" fillId="9" borderId="8" xfId="0" applyFont="1" applyFill="1" applyBorder="1" applyAlignment="1">
      <alignment vertical="center"/>
    </xf>
    <xf numFmtId="0" fontId="23" fillId="0" borderId="2" xfId="0" applyFont="1" applyBorder="1" applyAlignment="1">
      <alignment horizontal="center"/>
    </xf>
    <xf numFmtId="0" fontId="53" fillId="9" borderId="8" xfId="0" applyFont="1" applyFill="1" applyBorder="1" applyAlignment="1">
      <alignment horizontal="left" vertical="center"/>
    </xf>
    <xf numFmtId="0" fontId="22" fillId="0" borderId="2" xfId="0" applyFont="1" applyBorder="1" applyAlignment="1">
      <alignment horizontal="center"/>
    </xf>
    <xf numFmtId="0" fontId="8" fillId="0" borderId="1" xfId="0" applyFont="1" applyBorder="1" applyAlignment="1">
      <alignment horizontal="center"/>
    </xf>
    <xf numFmtId="0" fontId="0" fillId="0" borderId="8" xfId="0" applyFont="1" applyBorder="1" applyAlignment="1">
      <alignment horizontal="center" vertical="center"/>
    </xf>
    <xf numFmtId="0" fontId="8" fillId="0" borderId="2" xfId="0" applyFont="1" applyBorder="1" applyAlignment="1">
      <alignment horizontal="center"/>
    </xf>
    <xf numFmtId="0" fontId="52" fillId="9" borderId="8" xfId="0" applyFont="1" applyFill="1" applyBorder="1" applyAlignment="1">
      <alignment horizontal="left" vertical="center"/>
    </xf>
    <xf numFmtId="0" fontId="5" fillId="0" borderId="8" xfId="0" applyFont="1" applyBorder="1" applyAlignment="1">
      <alignment horizontal="center" vertical="center" wrapText="1"/>
    </xf>
    <xf numFmtId="0" fontId="58" fillId="0" borderId="0" xfId="0" applyFont="1" applyAlignment="1">
      <alignment horizontal="center"/>
    </xf>
    <xf numFmtId="0" fontId="2" fillId="0" borderId="23" xfId="0" applyFont="1" applyBorder="1" applyAlignment="1"/>
    <xf numFmtId="0" fontId="17" fillId="0" borderId="23" xfId="0" applyFont="1" applyBorder="1"/>
    <xf numFmtId="167" fontId="17" fillId="0" borderId="23" xfId="0" applyNumberFormat="1" applyFont="1" applyBorder="1"/>
    <xf numFmtId="167" fontId="18" fillId="0" borderId="23" xfId="0" applyNumberFormat="1" applyFont="1" applyBorder="1"/>
  </cellXfs>
  <cellStyles count="2">
    <cellStyle name="Comma" xfId="1" builtinId="3"/>
    <cellStyle name="Normal" xfId="0" builtinId="0"/>
  </cellStyles>
  <dxfs count="4">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view="pageBreakPreview" zoomScale="60" zoomScaleNormal="100" workbookViewId="0">
      <selection activeCell="J8" sqref="J8"/>
    </sheetView>
  </sheetViews>
  <sheetFormatPr defaultColWidth="14.42578125" defaultRowHeight="15" customHeight="1" x14ac:dyDescent="0.25"/>
  <cols>
    <col min="1" max="1" width="12.85546875" customWidth="1"/>
    <col min="2" max="2" width="56" customWidth="1"/>
    <col min="3" max="3" width="26.28515625" customWidth="1"/>
    <col min="4" max="4" width="20.7109375" customWidth="1"/>
    <col min="5" max="5" width="29.42578125" customWidth="1"/>
    <col min="6" max="11" width="9.140625" customWidth="1"/>
  </cols>
  <sheetData>
    <row r="1" spans="1:11" ht="26.25" customHeight="1" x14ac:dyDescent="0.25">
      <c r="A1" s="339" t="s">
        <v>0</v>
      </c>
      <c r="B1" s="340"/>
      <c r="C1" s="340"/>
      <c r="D1" s="340"/>
      <c r="E1" s="340"/>
      <c r="F1" s="1"/>
      <c r="G1" s="1"/>
      <c r="H1" s="1"/>
      <c r="I1" s="1"/>
      <c r="J1" s="1"/>
      <c r="K1" s="1"/>
    </row>
    <row r="2" spans="1:11" ht="26.25" customHeight="1" x14ac:dyDescent="0.25">
      <c r="A2" s="341" t="s">
        <v>1</v>
      </c>
      <c r="B2" s="342"/>
      <c r="C2" s="342"/>
      <c r="D2" s="342"/>
      <c r="E2" s="343"/>
      <c r="F2" s="1"/>
      <c r="G2" s="1"/>
      <c r="H2" s="1"/>
      <c r="I2" s="1"/>
      <c r="J2" s="1"/>
      <c r="K2" s="1"/>
    </row>
    <row r="3" spans="1:11" ht="23.25" customHeight="1" x14ac:dyDescent="0.25">
      <c r="A3" s="344" t="s">
        <v>2</v>
      </c>
      <c r="B3" s="342"/>
      <c r="C3" s="342"/>
      <c r="D3" s="342"/>
      <c r="E3" s="343"/>
      <c r="F3" s="1"/>
      <c r="G3" s="1"/>
      <c r="H3" s="1"/>
      <c r="I3" s="1"/>
      <c r="J3" s="1"/>
      <c r="K3" s="1"/>
    </row>
    <row r="4" spans="1:11" ht="240.75" customHeight="1" x14ac:dyDescent="0.25">
      <c r="A4" s="345" t="s">
        <v>3</v>
      </c>
      <c r="B4" s="342"/>
      <c r="C4" s="342"/>
      <c r="D4" s="342"/>
      <c r="E4" s="343"/>
      <c r="F4" s="1"/>
      <c r="G4" s="1"/>
      <c r="H4" s="1"/>
      <c r="I4" s="1"/>
      <c r="J4" s="1"/>
      <c r="K4" s="1"/>
    </row>
    <row r="5" spans="1:11" ht="23.25" customHeight="1" x14ac:dyDescent="0.25">
      <c r="A5" s="344" t="s">
        <v>4</v>
      </c>
      <c r="B5" s="342"/>
      <c r="C5" s="342"/>
      <c r="D5" s="342"/>
      <c r="E5" s="343"/>
      <c r="F5" s="1"/>
      <c r="G5" s="1"/>
      <c r="H5" s="1"/>
      <c r="I5" s="1"/>
      <c r="J5" s="1"/>
      <c r="K5" s="1"/>
    </row>
    <row r="6" spans="1:11" ht="108" customHeight="1" x14ac:dyDescent="0.25">
      <c r="A6" s="345" t="s">
        <v>5</v>
      </c>
      <c r="B6" s="342"/>
      <c r="C6" s="342"/>
      <c r="D6" s="342"/>
      <c r="E6" s="343"/>
      <c r="F6" s="1"/>
      <c r="G6" s="1"/>
      <c r="H6" s="1"/>
      <c r="I6" s="1"/>
      <c r="J6" s="1"/>
      <c r="K6" s="1"/>
    </row>
    <row r="7" spans="1:11" ht="23.25" customHeight="1" x14ac:dyDescent="0.25">
      <c r="A7" s="350" t="s">
        <v>6</v>
      </c>
      <c r="B7" s="342"/>
      <c r="C7" s="342"/>
      <c r="D7" s="342"/>
      <c r="E7" s="343"/>
      <c r="F7" s="1"/>
      <c r="G7" s="1"/>
      <c r="H7" s="1"/>
      <c r="I7" s="1"/>
      <c r="J7" s="1"/>
      <c r="K7" s="1"/>
    </row>
    <row r="8" spans="1:11" ht="125.25" customHeight="1" x14ac:dyDescent="0.25">
      <c r="A8" s="345" t="s">
        <v>7</v>
      </c>
      <c r="B8" s="342"/>
      <c r="C8" s="342"/>
      <c r="D8" s="342"/>
      <c r="E8" s="343"/>
      <c r="F8" s="1"/>
      <c r="G8" s="1"/>
      <c r="H8" s="1"/>
      <c r="I8" s="1"/>
      <c r="J8" s="1"/>
      <c r="K8" s="1"/>
    </row>
    <row r="9" spans="1:11" x14ac:dyDescent="0.25">
      <c r="A9" s="344" t="s">
        <v>8</v>
      </c>
      <c r="B9" s="342"/>
      <c r="C9" s="342"/>
      <c r="D9" s="342"/>
      <c r="E9" s="343"/>
      <c r="F9" s="1"/>
      <c r="G9" s="1"/>
      <c r="H9" s="1"/>
      <c r="I9" s="1"/>
      <c r="J9" s="1"/>
      <c r="K9" s="1"/>
    </row>
    <row r="10" spans="1:11" x14ac:dyDescent="0.25">
      <c r="A10" s="1" t="s">
        <v>9</v>
      </c>
      <c r="B10" s="1" t="s">
        <v>10</v>
      </c>
      <c r="C10" s="1"/>
      <c r="D10" s="1"/>
      <c r="E10" s="1"/>
      <c r="F10" s="1"/>
      <c r="G10" s="1"/>
      <c r="H10" s="1"/>
      <c r="I10" s="1"/>
      <c r="J10" s="1"/>
      <c r="K10" s="1"/>
    </row>
    <row r="11" spans="1:11" ht="20.25" customHeight="1" x14ac:dyDescent="0.25">
      <c r="A11" s="2"/>
      <c r="B11" s="351" t="s">
        <v>11</v>
      </c>
      <c r="C11" s="342"/>
      <c r="D11" s="342"/>
      <c r="E11" s="343"/>
      <c r="F11" s="1"/>
      <c r="G11" s="1"/>
      <c r="H11" s="1"/>
      <c r="I11" s="1"/>
      <c r="J11" s="1"/>
      <c r="K11" s="1"/>
    </row>
    <row r="12" spans="1:11" x14ac:dyDescent="0.25">
      <c r="A12" s="3"/>
      <c r="B12" s="351" t="s">
        <v>12</v>
      </c>
      <c r="C12" s="342"/>
      <c r="D12" s="342"/>
      <c r="E12" s="343"/>
      <c r="F12" s="1"/>
      <c r="G12" s="1"/>
      <c r="H12" s="1"/>
      <c r="I12" s="1"/>
      <c r="J12" s="1"/>
      <c r="K12" s="1"/>
    </row>
    <row r="13" spans="1:11" x14ac:dyDescent="0.25">
      <c r="A13" s="349"/>
      <c r="B13" s="342"/>
      <c r="C13" s="342"/>
      <c r="D13" s="342"/>
      <c r="E13" s="343"/>
      <c r="F13" s="1"/>
      <c r="G13" s="1"/>
      <c r="H13" s="1"/>
      <c r="I13" s="1"/>
      <c r="J13" s="1"/>
      <c r="K13" s="1"/>
    </row>
    <row r="14" spans="1:11" x14ac:dyDescent="0.25">
      <c r="A14" s="344" t="s">
        <v>13</v>
      </c>
      <c r="B14" s="342"/>
      <c r="C14" s="342"/>
      <c r="D14" s="342"/>
      <c r="E14" s="343"/>
      <c r="F14" s="1"/>
      <c r="G14" s="1"/>
      <c r="H14" s="1"/>
      <c r="I14" s="1"/>
      <c r="J14" s="1"/>
      <c r="K14" s="1"/>
    </row>
    <row r="15" spans="1:11" x14ac:dyDescent="0.25">
      <c r="A15" s="4" t="s">
        <v>14</v>
      </c>
      <c r="B15" s="4" t="s">
        <v>15</v>
      </c>
      <c r="C15" s="4" t="s">
        <v>16</v>
      </c>
      <c r="D15" s="4" t="s">
        <v>17</v>
      </c>
      <c r="E15" s="4" t="s">
        <v>18</v>
      </c>
      <c r="F15" s="1"/>
      <c r="G15" s="1"/>
      <c r="H15" s="1"/>
      <c r="I15" s="1"/>
      <c r="J15" s="1"/>
      <c r="K15" s="1"/>
    </row>
    <row r="16" spans="1:11" x14ac:dyDescent="0.25">
      <c r="A16" s="5" t="s">
        <v>19</v>
      </c>
      <c r="B16" s="5" t="s">
        <v>20</v>
      </c>
      <c r="C16" s="5"/>
      <c r="D16" s="5"/>
      <c r="E16" s="5"/>
      <c r="F16" s="1"/>
      <c r="G16" s="1"/>
      <c r="H16" s="1"/>
      <c r="I16" s="1"/>
      <c r="J16" s="1"/>
      <c r="K16" s="1"/>
    </row>
    <row r="17" spans="1:11" ht="60" x14ac:dyDescent="0.25">
      <c r="A17" s="6" t="s">
        <v>21</v>
      </c>
      <c r="B17" s="7" t="s">
        <v>22</v>
      </c>
      <c r="C17" s="7" t="s">
        <v>23</v>
      </c>
      <c r="D17" s="7" t="s">
        <v>24</v>
      </c>
      <c r="E17" s="7"/>
      <c r="F17" s="1"/>
      <c r="G17" s="1"/>
      <c r="H17" s="1"/>
      <c r="I17" s="1"/>
      <c r="J17" s="1"/>
      <c r="K17" s="1"/>
    </row>
    <row r="18" spans="1:11" ht="90" x14ac:dyDescent="0.25">
      <c r="A18" s="6" t="s">
        <v>25</v>
      </c>
      <c r="B18" s="7" t="s">
        <v>26</v>
      </c>
      <c r="C18" s="7" t="s">
        <v>27</v>
      </c>
      <c r="D18" s="7" t="s">
        <v>28</v>
      </c>
      <c r="E18" s="7"/>
      <c r="F18" s="1"/>
      <c r="G18" s="1"/>
      <c r="H18" s="1"/>
      <c r="I18" s="1"/>
      <c r="J18" s="1"/>
      <c r="K18" s="1"/>
    </row>
    <row r="19" spans="1:11" ht="26.25" customHeight="1" x14ac:dyDescent="0.25">
      <c r="A19" s="6" t="s">
        <v>29</v>
      </c>
      <c r="B19" s="8" t="s">
        <v>30</v>
      </c>
      <c r="C19" s="7" t="s">
        <v>31</v>
      </c>
      <c r="D19" s="7" t="s">
        <v>32</v>
      </c>
      <c r="E19" s="7" t="s">
        <v>33</v>
      </c>
      <c r="F19" s="1"/>
      <c r="G19" s="1"/>
      <c r="H19" s="1"/>
      <c r="I19" s="1"/>
      <c r="J19" s="1"/>
      <c r="K19" s="1"/>
    </row>
    <row r="20" spans="1:11" ht="30" x14ac:dyDescent="0.25">
      <c r="A20" s="6" t="s">
        <v>34</v>
      </c>
      <c r="B20" s="7" t="s">
        <v>35</v>
      </c>
      <c r="C20" s="7"/>
      <c r="D20" s="7"/>
      <c r="E20" s="7"/>
      <c r="F20" s="1"/>
      <c r="G20" s="1"/>
      <c r="H20" s="1"/>
      <c r="I20" s="1"/>
      <c r="J20" s="1"/>
      <c r="K20" s="1"/>
    </row>
    <row r="21" spans="1:11" ht="15.75" customHeight="1" x14ac:dyDescent="0.25">
      <c r="A21" s="7">
        <v>4.0999999999999996</v>
      </c>
      <c r="B21" s="7" t="s">
        <v>36</v>
      </c>
      <c r="C21" s="346" t="s">
        <v>37</v>
      </c>
      <c r="D21" s="7" t="s">
        <v>38</v>
      </c>
      <c r="E21" s="7"/>
      <c r="F21" s="1"/>
      <c r="G21" s="1"/>
      <c r="H21" s="1"/>
      <c r="I21" s="1"/>
      <c r="J21" s="1"/>
      <c r="K21" s="1"/>
    </row>
    <row r="22" spans="1:11" ht="15.75" customHeight="1" x14ac:dyDescent="0.25">
      <c r="A22" s="7">
        <v>4.2</v>
      </c>
      <c r="B22" s="7" t="s">
        <v>39</v>
      </c>
      <c r="C22" s="347"/>
      <c r="D22" s="7" t="s">
        <v>40</v>
      </c>
      <c r="E22" s="7"/>
      <c r="F22" s="1"/>
      <c r="G22" s="1"/>
      <c r="H22" s="1"/>
      <c r="I22" s="1"/>
      <c r="J22" s="1"/>
      <c r="K22" s="1"/>
    </row>
    <row r="23" spans="1:11" ht="15.75" customHeight="1" x14ac:dyDescent="0.25">
      <c r="A23" s="7">
        <v>4.3</v>
      </c>
      <c r="B23" s="7" t="s">
        <v>41</v>
      </c>
      <c r="C23" s="347"/>
      <c r="D23" s="7" t="s">
        <v>42</v>
      </c>
      <c r="E23" s="7"/>
      <c r="F23" s="1"/>
      <c r="G23" s="1"/>
      <c r="H23" s="1"/>
      <c r="I23" s="1"/>
      <c r="J23" s="1"/>
      <c r="K23" s="1"/>
    </row>
    <row r="24" spans="1:11" ht="15.75" customHeight="1" x14ac:dyDescent="0.25">
      <c r="A24" s="7">
        <v>4.4000000000000004</v>
      </c>
      <c r="B24" s="7" t="s">
        <v>43</v>
      </c>
      <c r="C24" s="347"/>
      <c r="D24" s="7" t="s">
        <v>44</v>
      </c>
      <c r="E24" s="7"/>
      <c r="F24" s="1"/>
      <c r="G24" s="1"/>
      <c r="H24" s="1"/>
      <c r="I24" s="1"/>
      <c r="J24" s="1"/>
      <c r="K24" s="1"/>
    </row>
    <row r="25" spans="1:11" ht="15.75" customHeight="1" x14ac:dyDescent="0.25">
      <c r="A25" s="7">
        <v>4.5</v>
      </c>
      <c r="B25" s="7" t="s">
        <v>45</v>
      </c>
      <c r="C25" s="347"/>
      <c r="D25" s="7" t="s">
        <v>46</v>
      </c>
      <c r="E25" s="7"/>
      <c r="F25" s="1"/>
      <c r="G25" s="1"/>
      <c r="H25" s="1"/>
      <c r="I25" s="1"/>
      <c r="J25" s="1"/>
      <c r="K25" s="1"/>
    </row>
    <row r="26" spans="1:11" ht="15.75" customHeight="1" x14ac:dyDescent="0.25">
      <c r="A26" s="7">
        <v>4.5999999999999996</v>
      </c>
      <c r="B26" s="7" t="s">
        <v>47</v>
      </c>
      <c r="C26" s="348"/>
      <c r="D26" s="7" t="s">
        <v>48</v>
      </c>
      <c r="E26" s="7"/>
      <c r="F26" s="1"/>
      <c r="G26" s="1"/>
      <c r="H26" s="1"/>
      <c r="I26" s="1"/>
      <c r="J26" s="1"/>
      <c r="K26" s="1"/>
    </row>
    <row r="27" spans="1:11" ht="15.75" customHeight="1" x14ac:dyDescent="0.25">
      <c r="A27" s="6" t="s">
        <v>49</v>
      </c>
      <c r="B27" s="7" t="s">
        <v>50</v>
      </c>
      <c r="C27" s="7" t="s">
        <v>51</v>
      </c>
      <c r="D27" s="7" t="s">
        <v>52</v>
      </c>
      <c r="E27" s="7"/>
      <c r="F27" s="1"/>
      <c r="G27" s="1"/>
      <c r="H27" s="1"/>
      <c r="I27" s="1"/>
      <c r="J27" s="1"/>
      <c r="K27" s="1"/>
    </row>
    <row r="28" spans="1:11" ht="15.75" customHeight="1" x14ac:dyDescent="0.25">
      <c r="A28" s="6" t="s">
        <v>53</v>
      </c>
      <c r="B28" s="7" t="s">
        <v>54</v>
      </c>
      <c r="C28" s="7" t="s">
        <v>55</v>
      </c>
      <c r="D28" s="7" t="s">
        <v>56</v>
      </c>
      <c r="E28" s="7"/>
      <c r="F28" s="1"/>
      <c r="G28" s="1"/>
      <c r="H28" s="1"/>
      <c r="I28" s="1"/>
      <c r="J28" s="1"/>
      <c r="K28" s="1"/>
    </row>
    <row r="29" spans="1:11" ht="15.75" customHeight="1" x14ac:dyDescent="0.25">
      <c r="A29" s="6" t="s">
        <v>57</v>
      </c>
      <c r="B29" s="7" t="s">
        <v>58</v>
      </c>
      <c r="C29" s="7" t="s">
        <v>59</v>
      </c>
      <c r="D29" s="7" t="s">
        <v>60</v>
      </c>
      <c r="E29" s="7"/>
      <c r="F29" s="1"/>
      <c r="G29" s="1"/>
      <c r="H29" s="1"/>
      <c r="I29" s="1"/>
      <c r="J29" s="1"/>
      <c r="K29" s="1"/>
    </row>
    <row r="30" spans="1:11" ht="15.75" customHeight="1" x14ac:dyDescent="0.25">
      <c r="A30" s="5" t="s">
        <v>61</v>
      </c>
      <c r="B30" s="9" t="s">
        <v>62</v>
      </c>
      <c r="C30" s="5"/>
      <c r="D30" s="5"/>
      <c r="E30" s="5"/>
      <c r="F30" s="1"/>
      <c r="G30" s="1"/>
      <c r="H30" s="1"/>
      <c r="I30" s="1"/>
      <c r="J30" s="1"/>
      <c r="K30" s="1"/>
    </row>
    <row r="31" spans="1:11" ht="26.25" customHeight="1" x14ac:dyDescent="0.25">
      <c r="A31" s="10" t="s">
        <v>63</v>
      </c>
      <c r="B31" s="7" t="s">
        <v>64</v>
      </c>
      <c r="C31" s="7"/>
      <c r="D31" s="7" t="s">
        <v>65</v>
      </c>
      <c r="E31" s="7" t="s">
        <v>33</v>
      </c>
      <c r="F31" s="1"/>
      <c r="G31" s="1"/>
      <c r="H31" s="1"/>
      <c r="I31" s="1"/>
      <c r="J31" s="1"/>
      <c r="K31" s="1"/>
    </row>
    <row r="32" spans="1:11" ht="15.75" customHeight="1" x14ac:dyDescent="0.25">
      <c r="A32" s="10" t="s">
        <v>66</v>
      </c>
      <c r="B32" s="7" t="s">
        <v>67</v>
      </c>
      <c r="C32" s="7"/>
      <c r="D32" s="7" t="s">
        <v>68</v>
      </c>
      <c r="E32" s="7" t="s">
        <v>33</v>
      </c>
      <c r="F32" s="1"/>
      <c r="G32" s="1"/>
      <c r="H32" s="1"/>
      <c r="I32" s="1"/>
      <c r="J32" s="1"/>
      <c r="K32" s="1"/>
    </row>
    <row r="33" spans="1:11" ht="15.75" customHeight="1" x14ac:dyDescent="0.25">
      <c r="A33" s="10" t="s">
        <v>69</v>
      </c>
      <c r="B33" s="7" t="s">
        <v>70</v>
      </c>
      <c r="C33" s="7"/>
      <c r="D33" s="7" t="s">
        <v>71</v>
      </c>
      <c r="E33" s="7" t="s">
        <v>33</v>
      </c>
      <c r="F33" s="1"/>
      <c r="G33" s="1"/>
      <c r="H33" s="1"/>
      <c r="I33" s="1"/>
      <c r="J33" s="1"/>
      <c r="K33" s="1"/>
    </row>
    <row r="34" spans="1:11" ht="35.25" customHeight="1" x14ac:dyDescent="0.25">
      <c r="A34" s="10" t="s">
        <v>72</v>
      </c>
      <c r="B34" s="7" t="s">
        <v>73</v>
      </c>
      <c r="C34" s="7"/>
      <c r="D34" s="7" t="s">
        <v>74</v>
      </c>
      <c r="E34" s="7" t="s">
        <v>33</v>
      </c>
      <c r="F34" s="1"/>
      <c r="G34" s="1"/>
      <c r="H34" s="1"/>
      <c r="I34" s="1"/>
      <c r="J34" s="1"/>
      <c r="K34" s="1"/>
    </row>
    <row r="35" spans="1:11" ht="35.25" customHeight="1" x14ac:dyDescent="0.25">
      <c r="A35" s="10" t="s">
        <v>75</v>
      </c>
      <c r="B35" s="7" t="s">
        <v>76</v>
      </c>
      <c r="C35" s="7"/>
      <c r="D35" s="7" t="s">
        <v>77</v>
      </c>
      <c r="E35" s="7" t="s">
        <v>33</v>
      </c>
      <c r="F35" s="1"/>
      <c r="G35" s="1"/>
      <c r="H35" s="1"/>
      <c r="I35" s="1"/>
      <c r="J35" s="1"/>
      <c r="K35" s="1"/>
    </row>
    <row r="36" spans="1:11" ht="15.75" customHeight="1" x14ac:dyDescent="0.25">
      <c r="A36" s="6" t="s">
        <v>78</v>
      </c>
      <c r="B36" s="7" t="s">
        <v>79</v>
      </c>
      <c r="C36" s="7"/>
      <c r="D36" s="7"/>
      <c r="E36" s="7"/>
      <c r="F36" s="1"/>
      <c r="G36" s="1"/>
      <c r="H36" s="1"/>
      <c r="I36" s="1"/>
      <c r="J36" s="1"/>
      <c r="K36" s="1"/>
    </row>
    <row r="37" spans="1:11" ht="15.75" customHeight="1" x14ac:dyDescent="0.25">
      <c r="A37" s="337"/>
      <c r="B37" s="338"/>
      <c r="C37" s="338"/>
      <c r="D37" s="338"/>
      <c r="E37" s="338"/>
      <c r="F37" s="1"/>
      <c r="G37" s="1"/>
      <c r="H37" s="1"/>
      <c r="I37" s="1"/>
      <c r="J37" s="1"/>
      <c r="K37" s="1"/>
    </row>
    <row r="38" spans="1:11" ht="15.75" customHeight="1" x14ac:dyDescent="0.25">
      <c r="A38" s="1"/>
      <c r="B38" s="1"/>
      <c r="C38" s="1"/>
      <c r="D38" s="1"/>
      <c r="E38" s="1"/>
      <c r="F38" s="1"/>
      <c r="G38" s="1"/>
      <c r="H38" s="1"/>
      <c r="I38" s="1"/>
      <c r="J38" s="1"/>
      <c r="K38" s="1"/>
    </row>
    <row r="39" spans="1:11" ht="15.75" customHeight="1" x14ac:dyDescent="0.25">
      <c r="A39" s="1"/>
      <c r="B39" s="1"/>
      <c r="C39" s="1"/>
      <c r="D39" s="1"/>
      <c r="E39" s="1"/>
      <c r="F39" s="1"/>
      <c r="G39" s="1"/>
      <c r="H39" s="1"/>
      <c r="I39" s="1"/>
      <c r="J39" s="1"/>
      <c r="K39" s="1"/>
    </row>
    <row r="40" spans="1:11" ht="15.75" customHeight="1" x14ac:dyDescent="0.25">
      <c r="A40" s="1"/>
      <c r="B40" s="1"/>
      <c r="C40" s="1"/>
      <c r="D40" s="1"/>
      <c r="E40" s="1"/>
      <c r="F40" s="1"/>
      <c r="G40" s="1"/>
      <c r="H40" s="1"/>
      <c r="I40" s="1"/>
      <c r="J40" s="1"/>
      <c r="K40" s="1"/>
    </row>
    <row r="41" spans="1:11" ht="15.75" customHeight="1" x14ac:dyDescent="0.25">
      <c r="A41" s="1"/>
      <c r="B41" s="1"/>
      <c r="C41" s="1"/>
      <c r="D41" s="1"/>
      <c r="E41" s="1"/>
      <c r="F41" s="1"/>
      <c r="G41" s="1"/>
      <c r="H41" s="1"/>
      <c r="I41" s="1"/>
      <c r="J41" s="1"/>
      <c r="K41" s="1"/>
    </row>
    <row r="42" spans="1:11" ht="15.75" customHeight="1" x14ac:dyDescent="0.25">
      <c r="A42" s="1"/>
      <c r="B42" s="1"/>
      <c r="C42" s="1"/>
      <c r="D42" s="1"/>
      <c r="E42" s="1"/>
      <c r="F42" s="1"/>
      <c r="G42" s="1"/>
      <c r="H42" s="1"/>
      <c r="I42" s="1"/>
      <c r="J42" s="1"/>
      <c r="K42" s="1"/>
    </row>
    <row r="43" spans="1:11" ht="15.75" customHeight="1" x14ac:dyDescent="0.25">
      <c r="A43" s="1"/>
      <c r="B43" s="1"/>
      <c r="C43" s="1"/>
      <c r="D43" s="1"/>
      <c r="E43" s="1"/>
      <c r="F43" s="1"/>
      <c r="G43" s="1"/>
      <c r="H43" s="1"/>
      <c r="I43" s="1"/>
      <c r="J43" s="1"/>
      <c r="K43" s="1"/>
    </row>
    <row r="44" spans="1:11" ht="15.75" customHeight="1" x14ac:dyDescent="0.25">
      <c r="A44" s="1"/>
      <c r="B44" s="1"/>
      <c r="C44" s="1"/>
      <c r="D44" s="1"/>
      <c r="E44" s="1"/>
      <c r="F44" s="1"/>
      <c r="G44" s="1"/>
      <c r="H44" s="1"/>
      <c r="I44" s="1"/>
      <c r="J44" s="1"/>
      <c r="K44" s="1"/>
    </row>
    <row r="45" spans="1:11" ht="15.75" customHeight="1" x14ac:dyDescent="0.25">
      <c r="A45" s="1"/>
      <c r="B45" s="1"/>
      <c r="C45" s="1"/>
      <c r="D45" s="1"/>
      <c r="E45" s="1"/>
      <c r="F45" s="1"/>
      <c r="G45" s="1"/>
      <c r="H45" s="1"/>
      <c r="I45" s="1"/>
      <c r="J45" s="1"/>
      <c r="K45" s="1"/>
    </row>
    <row r="46" spans="1:11" ht="15.75" customHeight="1" x14ac:dyDescent="0.25">
      <c r="A46" s="1"/>
      <c r="B46" s="1"/>
      <c r="C46" s="1"/>
      <c r="D46" s="1"/>
      <c r="E46" s="1"/>
      <c r="F46" s="1"/>
      <c r="G46" s="1"/>
      <c r="H46" s="1"/>
      <c r="I46" s="1"/>
      <c r="J46" s="1"/>
      <c r="K46" s="1"/>
    </row>
    <row r="47" spans="1:11" ht="15.75" customHeight="1" x14ac:dyDescent="0.25">
      <c r="A47" s="1"/>
      <c r="B47" s="1"/>
      <c r="C47" s="1"/>
      <c r="D47" s="1"/>
      <c r="E47" s="1"/>
      <c r="F47" s="1"/>
      <c r="G47" s="1"/>
      <c r="H47" s="1"/>
      <c r="I47" s="1"/>
      <c r="J47" s="1"/>
      <c r="K47" s="1"/>
    </row>
    <row r="48" spans="1:11" ht="15.75" customHeight="1" x14ac:dyDescent="0.25">
      <c r="A48" s="1"/>
      <c r="B48" s="1"/>
      <c r="C48" s="1"/>
      <c r="D48" s="1"/>
      <c r="E48" s="1"/>
      <c r="F48" s="1"/>
      <c r="G48" s="1"/>
      <c r="H48" s="1"/>
      <c r="I48" s="1"/>
      <c r="J48" s="1"/>
      <c r="K48" s="1"/>
    </row>
    <row r="49" spans="1:11" ht="15.75" customHeight="1" x14ac:dyDescent="0.25">
      <c r="A49" s="1"/>
      <c r="B49" s="1"/>
      <c r="C49" s="1"/>
      <c r="D49" s="1"/>
      <c r="E49" s="1"/>
      <c r="F49" s="1"/>
      <c r="G49" s="1"/>
      <c r="H49" s="1"/>
      <c r="I49" s="1"/>
      <c r="J49" s="1"/>
      <c r="K49" s="1"/>
    </row>
    <row r="50" spans="1:11" ht="15.75" customHeight="1" x14ac:dyDescent="0.25">
      <c r="A50" s="1"/>
      <c r="B50" s="1"/>
      <c r="C50" s="1"/>
      <c r="D50" s="1"/>
      <c r="E50" s="1"/>
      <c r="F50" s="1"/>
      <c r="G50" s="1"/>
      <c r="H50" s="1"/>
      <c r="I50" s="1"/>
      <c r="J50" s="1"/>
      <c r="K50" s="1"/>
    </row>
    <row r="51" spans="1:11" ht="15.75" customHeight="1" x14ac:dyDescent="0.25">
      <c r="A51" s="1"/>
      <c r="B51" s="1"/>
      <c r="C51" s="1"/>
      <c r="D51" s="1"/>
      <c r="E51" s="1"/>
      <c r="F51" s="1"/>
      <c r="G51" s="1"/>
      <c r="H51" s="1"/>
      <c r="I51" s="1"/>
      <c r="J51" s="1"/>
      <c r="K51" s="1"/>
    </row>
    <row r="52" spans="1:11" ht="15.75" customHeight="1" x14ac:dyDescent="0.25">
      <c r="A52" s="1"/>
      <c r="B52" s="1"/>
      <c r="C52" s="1"/>
      <c r="D52" s="1"/>
      <c r="E52" s="1"/>
      <c r="F52" s="1"/>
      <c r="G52" s="1"/>
      <c r="H52" s="1"/>
      <c r="I52" s="1"/>
      <c r="J52" s="1"/>
      <c r="K52" s="1"/>
    </row>
    <row r="53" spans="1:11" ht="15.75" customHeight="1" x14ac:dyDescent="0.25">
      <c r="A53" s="1"/>
      <c r="B53" s="1"/>
      <c r="C53" s="1"/>
      <c r="D53" s="1"/>
      <c r="E53" s="1"/>
      <c r="F53" s="1"/>
      <c r="G53" s="1"/>
      <c r="H53" s="1"/>
      <c r="I53" s="1"/>
      <c r="J53" s="1"/>
      <c r="K53" s="1"/>
    </row>
    <row r="54" spans="1:11" ht="15.75" customHeight="1" x14ac:dyDescent="0.25">
      <c r="A54" s="1"/>
      <c r="B54" s="1"/>
      <c r="C54" s="1"/>
      <c r="D54" s="1"/>
      <c r="E54" s="1"/>
      <c r="F54" s="1"/>
      <c r="G54" s="1"/>
      <c r="H54" s="1"/>
      <c r="I54" s="1"/>
      <c r="J54" s="1"/>
      <c r="K54" s="1"/>
    </row>
    <row r="55" spans="1:11" ht="15.75" customHeight="1" x14ac:dyDescent="0.25">
      <c r="A55" s="1"/>
      <c r="B55" s="1"/>
      <c r="C55" s="1"/>
      <c r="D55" s="1"/>
      <c r="E55" s="1"/>
      <c r="F55" s="1"/>
      <c r="G55" s="1"/>
      <c r="H55" s="1"/>
      <c r="I55" s="1"/>
      <c r="J55" s="1"/>
      <c r="K55" s="1"/>
    </row>
    <row r="56" spans="1:11" ht="15.75" customHeight="1" x14ac:dyDescent="0.25">
      <c r="A56" s="1"/>
      <c r="B56" s="1"/>
      <c r="C56" s="1"/>
      <c r="D56" s="1"/>
      <c r="E56" s="1"/>
      <c r="F56" s="1"/>
      <c r="G56" s="1"/>
      <c r="H56" s="1"/>
      <c r="I56" s="1"/>
      <c r="J56" s="1"/>
      <c r="K56" s="1"/>
    </row>
    <row r="57" spans="1:11" ht="15.75" customHeight="1" x14ac:dyDescent="0.25">
      <c r="A57" s="1"/>
      <c r="B57" s="1"/>
      <c r="C57" s="1"/>
      <c r="D57" s="1"/>
      <c r="E57" s="1"/>
      <c r="F57" s="1"/>
      <c r="G57" s="1"/>
      <c r="H57" s="1"/>
      <c r="I57" s="1"/>
      <c r="J57" s="1"/>
      <c r="K57" s="1"/>
    </row>
    <row r="58" spans="1:11" ht="15.75" customHeight="1" x14ac:dyDescent="0.25">
      <c r="A58" s="1"/>
      <c r="B58" s="1"/>
      <c r="C58" s="1"/>
      <c r="D58" s="1"/>
      <c r="E58" s="1"/>
      <c r="F58" s="1"/>
      <c r="G58" s="1"/>
      <c r="H58" s="1"/>
      <c r="I58" s="1"/>
      <c r="J58" s="1"/>
      <c r="K58" s="1"/>
    </row>
    <row r="59" spans="1:11" ht="15.75" customHeight="1" x14ac:dyDescent="0.25">
      <c r="A59" s="1"/>
      <c r="B59" s="1"/>
      <c r="C59" s="1"/>
      <c r="D59" s="1"/>
      <c r="E59" s="1"/>
      <c r="F59" s="1"/>
      <c r="G59" s="1"/>
      <c r="H59" s="1"/>
      <c r="I59" s="1"/>
      <c r="J59" s="1"/>
      <c r="K59" s="1"/>
    </row>
    <row r="60" spans="1:11" ht="15.75" customHeight="1" x14ac:dyDescent="0.25">
      <c r="A60" s="1"/>
      <c r="B60" s="1"/>
      <c r="C60" s="1"/>
      <c r="D60" s="1"/>
      <c r="E60" s="1"/>
      <c r="F60" s="1"/>
      <c r="G60" s="1"/>
      <c r="H60" s="1"/>
      <c r="I60" s="1"/>
      <c r="J60" s="1"/>
      <c r="K60" s="1"/>
    </row>
    <row r="61" spans="1:11" ht="15.75" customHeight="1" x14ac:dyDescent="0.25">
      <c r="A61" s="1"/>
      <c r="B61" s="1"/>
      <c r="C61" s="1"/>
      <c r="D61" s="1"/>
      <c r="E61" s="1"/>
      <c r="F61" s="1"/>
      <c r="G61" s="1"/>
      <c r="H61" s="1"/>
      <c r="I61" s="1"/>
      <c r="J61" s="1"/>
      <c r="K61" s="1"/>
    </row>
    <row r="62" spans="1:11" ht="15.75" customHeight="1" x14ac:dyDescent="0.25">
      <c r="A62" s="1"/>
      <c r="B62" s="1"/>
      <c r="C62" s="1"/>
      <c r="D62" s="1"/>
      <c r="E62" s="1"/>
      <c r="F62" s="1"/>
      <c r="G62" s="1"/>
      <c r="H62" s="1"/>
      <c r="I62" s="1"/>
      <c r="J62" s="1"/>
      <c r="K62" s="1"/>
    </row>
    <row r="63" spans="1:11" ht="15.75" customHeight="1" x14ac:dyDescent="0.25">
      <c r="A63" s="1"/>
      <c r="B63" s="1"/>
      <c r="C63" s="1"/>
      <c r="D63" s="1"/>
      <c r="E63" s="1"/>
      <c r="F63" s="1"/>
      <c r="G63" s="1"/>
      <c r="H63" s="1"/>
      <c r="I63" s="1"/>
      <c r="J63" s="1"/>
      <c r="K63" s="1"/>
    </row>
    <row r="64" spans="1:11" ht="15.75" customHeight="1" x14ac:dyDescent="0.25">
      <c r="A64" s="1"/>
      <c r="B64" s="1"/>
      <c r="C64" s="1"/>
      <c r="D64" s="1"/>
      <c r="E64" s="1"/>
      <c r="F64" s="1"/>
      <c r="G64" s="1"/>
      <c r="H64" s="1"/>
      <c r="I64" s="1"/>
      <c r="J64" s="1"/>
      <c r="K64" s="1"/>
    </row>
    <row r="65" spans="1:11" ht="15.75" customHeight="1" x14ac:dyDescent="0.25">
      <c r="A65" s="1"/>
      <c r="B65" s="1"/>
      <c r="C65" s="1"/>
      <c r="D65" s="1"/>
      <c r="E65" s="1"/>
      <c r="F65" s="1"/>
      <c r="G65" s="1"/>
      <c r="H65" s="1"/>
      <c r="I65" s="1"/>
      <c r="J65" s="1"/>
      <c r="K65" s="1"/>
    </row>
    <row r="66" spans="1:11" ht="15.75" customHeight="1" x14ac:dyDescent="0.25">
      <c r="A66" s="1"/>
      <c r="B66" s="1"/>
      <c r="C66" s="1"/>
      <c r="D66" s="1"/>
      <c r="E66" s="1"/>
      <c r="F66" s="1"/>
      <c r="G66" s="1"/>
      <c r="H66" s="1"/>
      <c r="I66" s="1"/>
      <c r="J66" s="1"/>
      <c r="K66" s="1"/>
    </row>
    <row r="67" spans="1:11" ht="15.75" customHeight="1" x14ac:dyDescent="0.25">
      <c r="A67" s="1"/>
      <c r="B67" s="1"/>
      <c r="C67" s="1"/>
      <c r="D67" s="1"/>
      <c r="E67" s="1"/>
      <c r="F67" s="1"/>
      <c r="G67" s="1"/>
      <c r="H67" s="1"/>
      <c r="I67" s="1"/>
      <c r="J67" s="1"/>
      <c r="K67" s="1"/>
    </row>
    <row r="68" spans="1:11" ht="15.75" customHeight="1" x14ac:dyDescent="0.25">
      <c r="A68" s="1"/>
      <c r="B68" s="1"/>
      <c r="C68" s="1"/>
      <c r="D68" s="1"/>
      <c r="E68" s="1"/>
      <c r="F68" s="1"/>
      <c r="G68" s="1"/>
      <c r="H68" s="1"/>
      <c r="I68" s="1"/>
      <c r="J68" s="1"/>
      <c r="K68" s="1"/>
    </row>
    <row r="69" spans="1:11" ht="15.75" customHeight="1" x14ac:dyDescent="0.25">
      <c r="A69" s="1"/>
      <c r="B69" s="1"/>
      <c r="C69" s="1"/>
      <c r="D69" s="1"/>
      <c r="E69" s="1"/>
      <c r="F69" s="1"/>
      <c r="G69" s="1"/>
      <c r="H69" s="1"/>
      <c r="I69" s="1"/>
      <c r="J69" s="1"/>
      <c r="K69" s="1"/>
    </row>
    <row r="70" spans="1:11" ht="15.75" customHeight="1" x14ac:dyDescent="0.25">
      <c r="A70" s="1"/>
      <c r="B70" s="1"/>
      <c r="C70" s="1"/>
      <c r="D70" s="1"/>
      <c r="E70" s="1"/>
      <c r="F70" s="1"/>
      <c r="G70" s="1"/>
      <c r="H70" s="1"/>
      <c r="I70" s="1"/>
      <c r="J70" s="1"/>
      <c r="K70" s="1"/>
    </row>
    <row r="71" spans="1:11" ht="15.75" customHeight="1" x14ac:dyDescent="0.25">
      <c r="A71" s="1"/>
      <c r="B71" s="1"/>
      <c r="C71" s="1"/>
      <c r="D71" s="1"/>
      <c r="E71" s="1"/>
      <c r="F71" s="1"/>
      <c r="G71" s="1"/>
      <c r="H71" s="1"/>
      <c r="I71" s="1"/>
      <c r="J71" s="1"/>
      <c r="K71" s="1"/>
    </row>
    <row r="72" spans="1:11" ht="15.75" customHeight="1" x14ac:dyDescent="0.25">
      <c r="A72" s="1"/>
      <c r="B72" s="1"/>
      <c r="C72" s="1"/>
      <c r="D72" s="1"/>
      <c r="E72" s="1"/>
      <c r="F72" s="1"/>
      <c r="G72" s="1"/>
      <c r="H72" s="1"/>
      <c r="I72" s="1"/>
      <c r="J72" s="1"/>
      <c r="K72" s="1"/>
    </row>
    <row r="73" spans="1:11" ht="15.75" customHeight="1" x14ac:dyDescent="0.25">
      <c r="A73" s="1"/>
      <c r="B73" s="1"/>
      <c r="C73" s="1"/>
      <c r="D73" s="1"/>
      <c r="E73" s="1"/>
      <c r="F73" s="1"/>
      <c r="G73" s="1"/>
      <c r="H73" s="1"/>
      <c r="I73" s="1"/>
      <c r="J73" s="1"/>
      <c r="K73" s="1"/>
    </row>
    <row r="74" spans="1:11" ht="15.75" customHeight="1" x14ac:dyDescent="0.25">
      <c r="A74" s="1"/>
      <c r="B74" s="1"/>
      <c r="C74" s="1"/>
      <c r="D74" s="1"/>
      <c r="E74" s="1"/>
      <c r="F74" s="1"/>
      <c r="G74" s="1"/>
      <c r="H74" s="1"/>
      <c r="I74" s="1"/>
      <c r="J74" s="1"/>
      <c r="K74" s="1"/>
    </row>
    <row r="75" spans="1:11" ht="15.75" customHeight="1" x14ac:dyDescent="0.25">
      <c r="A75" s="1"/>
      <c r="B75" s="1"/>
      <c r="C75" s="1"/>
      <c r="D75" s="1"/>
      <c r="E75" s="1"/>
      <c r="F75" s="1"/>
      <c r="G75" s="1"/>
      <c r="H75" s="1"/>
      <c r="I75" s="1"/>
      <c r="J75" s="1"/>
      <c r="K75" s="1"/>
    </row>
    <row r="76" spans="1:11" ht="15.75" customHeight="1" x14ac:dyDescent="0.25">
      <c r="A76" s="1"/>
      <c r="B76" s="1"/>
      <c r="C76" s="1"/>
      <c r="D76" s="1"/>
      <c r="E76" s="1"/>
      <c r="F76" s="1"/>
      <c r="G76" s="1"/>
      <c r="H76" s="1"/>
      <c r="I76" s="1"/>
      <c r="J76" s="1"/>
      <c r="K76" s="1"/>
    </row>
    <row r="77" spans="1:11" ht="15.75" customHeight="1" x14ac:dyDescent="0.25">
      <c r="A77" s="1"/>
      <c r="B77" s="1"/>
      <c r="C77" s="1"/>
      <c r="D77" s="1"/>
      <c r="E77" s="1"/>
      <c r="F77" s="1"/>
      <c r="G77" s="1"/>
      <c r="H77" s="1"/>
      <c r="I77" s="1"/>
      <c r="J77" s="1"/>
      <c r="K77" s="1"/>
    </row>
    <row r="78" spans="1:11" ht="15.75" customHeight="1" x14ac:dyDescent="0.25">
      <c r="A78" s="1"/>
      <c r="B78" s="1"/>
      <c r="C78" s="1"/>
      <c r="D78" s="1"/>
      <c r="E78" s="1"/>
      <c r="F78" s="1"/>
      <c r="G78" s="1"/>
      <c r="H78" s="1"/>
      <c r="I78" s="1"/>
      <c r="J78" s="1"/>
      <c r="K78" s="1"/>
    </row>
    <row r="79" spans="1:11" ht="15.75" customHeight="1" x14ac:dyDescent="0.25">
      <c r="A79" s="1"/>
      <c r="B79" s="1"/>
      <c r="C79" s="1"/>
      <c r="D79" s="1"/>
      <c r="E79" s="1"/>
      <c r="F79" s="1"/>
      <c r="G79" s="1"/>
      <c r="H79" s="1"/>
      <c r="I79" s="1"/>
      <c r="J79" s="1"/>
      <c r="K79" s="1"/>
    </row>
    <row r="80" spans="1:11" ht="15.75" customHeight="1" x14ac:dyDescent="0.25">
      <c r="A80" s="1"/>
      <c r="B80" s="1"/>
      <c r="C80" s="1"/>
      <c r="D80" s="1"/>
      <c r="E80" s="1"/>
      <c r="F80" s="1"/>
      <c r="G80" s="1"/>
      <c r="H80" s="1"/>
      <c r="I80" s="1"/>
      <c r="J80" s="1"/>
      <c r="K80" s="1"/>
    </row>
    <row r="81" spans="1:11" ht="15.75" customHeight="1" x14ac:dyDescent="0.25">
      <c r="A81" s="1"/>
      <c r="B81" s="1"/>
      <c r="C81" s="1"/>
      <c r="D81" s="1"/>
      <c r="E81" s="1"/>
      <c r="F81" s="1"/>
      <c r="G81" s="1"/>
      <c r="H81" s="1"/>
      <c r="I81" s="1"/>
      <c r="J81" s="1"/>
      <c r="K81" s="1"/>
    </row>
    <row r="82" spans="1:11" ht="15.75" customHeight="1" x14ac:dyDescent="0.25">
      <c r="A82" s="1"/>
      <c r="B82" s="1"/>
      <c r="C82" s="1"/>
      <c r="D82" s="1"/>
      <c r="E82" s="1"/>
      <c r="F82" s="1"/>
      <c r="G82" s="1"/>
      <c r="H82" s="1"/>
      <c r="I82" s="1"/>
      <c r="J82" s="1"/>
      <c r="K82" s="1"/>
    </row>
    <row r="83" spans="1:11" ht="15.75" customHeight="1" x14ac:dyDescent="0.25">
      <c r="A83" s="1"/>
      <c r="B83" s="1"/>
      <c r="C83" s="1"/>
      <c r="D83" s="1"/>
      <c r="E83" s="1"/>
      <c r="F83" s="1"/>
      <c r="G83" s="1"/>
      <c r="H83" s="1"/>
      <c r="I83" s="1"/>
      <c r="J83" s="1"/>
      <c r="K83" s="1"/>
    </row>
    <row r="84" spans="1:11" ht="15.75" customHeight="1" x14ac:dyDescent="0.25">
      <c r="A84" s="1"/>
      <c r="B84" s="1"/>
      <c r="C84" s="1"/>
      <c r="D84" s="1"/>
      <c r="E84" s="1"/>
      <c r="F84" s="1"/>
      <c r="G84" s="1"/>
      <c r="H84" s="1"/>
      <c r="I84" s="1"/>
      <c r="J84" s="1"/>
      <c r="K84" s="1"/>
    </row>
    <row r="85" spans="1:11" ht="15.75" customHeight="1" x14ac:dyDescent="0.25">
      <c r="A85" s="1"/>
      <c r="B85" s="1"/>
      <c r="C85" s="1"/>
      <c r="D85" s="1"/>
      <c r="E85" s="1"/>
      <c r="F85" s="1"/>
      <c r="G85" s="1"/>
      <c r="H85" s="1"/>
      <c r="I85" s="1"/>
      <c r="J85" s="1"/>
      <c r="K85" s="1"/>
    </row>
    <row r="86" spans="1:11" ht="15.75" customHeight="1" x14ac:dyDescent="0.25">
      <c r="A86" s="1"/>
      <c r="B86" s="1"/>
      <c r="C86" s="1"/>
      <c r="D86" s="1"/>
      <c r="E86" s="1"/>
      <c r="F86" s="1"/>
      <c r="G86" s="1"/>
      <c r="H86" s="1"/>
      <c r="I86" s="1"/>
      <c r="J86" s="1"/>
      <c r="K86" s="1"/>
    </row>
    <row r="87" spans="1:11" ht="15.75" customHeight="1" x14ac:dyDescent="0.25">
      <c r="A87" s="1"/>
      <c r="B87" s="1"/>
      <c r="C87" s="1"/>
      <c r="D87" s="1"/>
      <c r="E87" s="1"/>
      <c r="F87" s="1"/>
      <c r="G87" s="1"/>
      <c r="H87" s="1"/>
      <c r="I87" s="1"/>
      <c r="J87" s="1"/>
      <c r="K87" s="1"/>
    </row>
    <row r="88" spans="1:11" ht="15.75" customHeight="1" x14ac:dyDescent="0.25">
      <c r="A88" s="1"/>
      <c r="B88" s="1"/>
      <c r="C88" s="1"/>
      <c r="D88" s="1"/>
      <c r="E88" s="1"/>
      <c r="F88" s="1"/>
      <c r="G88" s="1"/>
      <c r="H88" s="1"/>
      <c r="I88" s="1"/>
      <c r="J88" s="1"/>
      <c r="K88" s="1"/>
    </row>
    <row r="89" spans="1:11" ht="15.75" customHeight="1" x14ac:dyDescent="0.25">
      <c r="A89" s="1"/>
      <c r="B89" s="1"/>
      <c r="C89" s="1"/>
      <c r="D89" s="1"/>
      <c r="E89" s="1"/>
      <c r="F89" s="1"/>
      <c r="G89" s="1"/>
      <c r="H89" s="1"/>
      <c r="I89" s="1"/>
      <c r="J89" s="1"/>
      <c r="K89" s="1"/>
    </row>
    <row r="90" spans="1:11" ht="15.75" customHeight="1" x14ac:dyDescent="0.25">
      <c r="A90" s="1"/>
      <c r="B90" s="1"/>
      <c r="C90" s="1"/>
      <c r="D90" s="1"/>
      <c r="E90" s="1"/>
      <c r="F90" s="1"/>
      <c r="G90" s="1"/>
      <c r="H90" s="1"/>
      <c r="I90" s="1"/>
      <c r="J90" s="1"/>
      <c r="K90" s="1"/>
    </row>
    <row r="91" spans="1:11" ht="15.75" customHeight="1" x14ac:dyDescent="0.25">
      <c r="A91" s="1"/>
      <c r="B91" s="1"/>
      <c r="C91" s="1"/>
      <c r="D91" s="1"/>
      <c r="E91" s="1"/>
      <c r="F91" s="1"/>
      <c r="G91" s="1"/>
      <c r="H91" s="1"/>
      <c r="I91" s="1"/>
      <c r="J91" s="1"/>
      <c r="K91" s="1"/>
    </row>
    <row r="92" spans="1:11" ht="15.75" customHeight="1" x14ac:dyDescent="0.25">
      <c r="A92" s="1"/>
      <c r="B92" s="1"/>
      <c r="C92" s="1"/>
      <c r="D92" s="1"/>
      <c r="E92" s="1"/>
      <c r="F92" s="1"/>
      <c r="G92" s="1"/>
      <c r="H92" s="1"/>
      <c r="I92" s="1"/>
      <c r="J92" s="1"/>
      <c r="K92" s="1"/>
    </row>
    <row r="93" spans="1:11" ht="15.75" customHeight="1" x14ac:dyDescent="0.25">
      <c r="A93" s="1"/>
      <c r="B93" s="1"/>
      <c r="C93" s="1"/>
      <c r="D93" s="1"/>
      <c r="E93" s="1"/>
      <c r="F93" s="1"/>
      <c r="G93" s="1"/>
      <c r="H93" s="1"/>
      <c r="I93" s="1"/>
      <c r="J93" s="1"/>
      <c r="K93" s="1"/>
    </row>
    <row r="94" spans="1:11" ht="15.75" customHeight="1" x14ac:dyDescent="0.25">
      <c r="A94" s="1"/>
      <c r="B94" s="1"/>
      <c r="C94" s="1"/>
      <c r="D94" s="1"/>
      <c r="E94" s="1"/>
      <c r="F94" s="1"/>
      <c r="G94" s="1"/>
      <c r="H94" s="1"/>
      <c r="I94" s="1"/>
      <c r="J94" s="1"/>
      <c r="K94" s="1"/>
    </row>
    <row r="95" spans="1:11" ht="15.75" customHeight="1" x14ac:dyDescent="0.25">
      <c r="A95" s="1"/>
      <c r="B95" s="1"/>
      <c r="C95" s="1"/>
      <c r="D95" s="1"/>
      <c r="E95" s="1"/>
      <c r="F95" s="1"/>
      <c r="G95" s="1"/>
      <c r="H95" s="1"/>
      <c r="I95" s="1"/>
      <c r="J95" s="1"/>
      <c r="K95" s="1"/>
    </row>
    <row r="96" spans="1:11" ht="15.75" customHeight="1" x14ac:dyDescent="0.25">
      <c r="A96" s="1"/>
      <c r="B96" s="1"/>
      <c r="C96" s="1"/>
      <c r="D96" s="1"/>
      <c r="E96" s="1"/>
      <c r="F96" s="1"/>
      <c r="G96" s="1"/>
      <c r="H96" s="1"/>
      <c r="I96" s="1"/>
      <c r="J96" s="1"/>
      <c r="K96" s="1"/>
    </row>
    <row r="97" spans="1:11" ht="15.75" customHeight="1" x14ac:dyDescent="0.25">
      <c r="A97" s="1"/>
      <c r="B97" s="1"/>
      <c r="C97" s="1"/>
      <c r="D97" s="1"/>
      <c r="E97" s="1"/>
      <c r="F97" s="1"/>
      <c r="G97" s="1"/>
      <c r="H97" s="1"/>
      <c r="I97" s="1"/>
      <c r="J97" s="1"/>
      <c r="K97" s="1"/>
    </row>
    <row r="98" spans="1:11" ht="15.75" customHeight="1" x14ac:dyDescent="0.25">
      <c r="A98" s="1"/>
      <c r="B98" s="1"/>
      <c r="C98" s="1"/>
      <c r="D98" s="1"/>
      <c r="E98" s="1"/>
      <c r="F98" s="1"/>
      <c r="G98" s="1"/>
      <c r="H98" s="1"/>
      <c r="I98" s="1"/>
      <c r="J98" s="1"/>
      <c r="K98" s="1"/>
    </row>
    <row r="99" spans="1:11" ht="15.75" customHeight="1" x14ac:dyDescent="0.25">
      <c r="A99" s="1"/>
      <c r="B99" s="1"/>
      <c r="C99" s="1"/>
      <c r="D99" s="1"/>
      <c r="E99" s="1"/>
      <c r="F99" s="1"/>
      <c r="G99" s="1"/>
      <c r="H99" s="1"/>
      <c r="I99" s="1"/>
      <c r="J99" s="1"/>
      <c r="K99" s="1"/>
    </row>
    <row r="100" spans="1:11" ht="15.75" customHeight="1" x14ac:dyDescent="0.25">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topLeftCell="A127" zoomScale="60" zoomScaleNormal="100" workbookViewId="0">
      <selection activeCell="D9" sqref="D9"/>
    </sheetView>
  </sheetViews>
  <sheetFormatPr defaultColWidth="14.42578125" defaultRowHeight="15" customHeight="1" x14ac:dyDescent="0.25"/>
  <cols>
    <col min="1" max="1" width="8.7109375" customWidth="1"/>
    <col min="2" max="2" width="32.7109375" customWidth="1"/>
    <col min="3" max="3" width="18.42578125" customWidth="1"/>
    <col min="4" max="5" width="14.85546875" customWidth="1"/>
    <col min="6" max="6" width="16.5703125" customWidth="1"/>
    <col min="7" max="9" width="15.85546875" customWidth="1"/>
    <col min="10" max="10" width="14.85546875" customWidth="1"/>
    <col min="11" max="11" width="14.42578125" customWidth="1"/>
    <col min="12" max="12" width="14.85546875" customWidth="1"/>
    <col min="13" max="18" width="11.85546875" customWidth="1"/>
    <col min="19" max="19" width="4.5703125" customWidth="1"/>
  </cols>
  <sheetData>
    <row r="5" spans="2:12" ht="18.75" x14ac:dyDescent="0.3">
      <c r="B5" s="354" t="s">
        <v>434</v>
      </c>
      <c r="C5" s="338"/>
      <c r="D5" s="338"/>
      <c r="E5" s="338"/>
      <c r="F5" s="338"/>
      <c r="G5" s="338"/>
      <c r="H5" s="338"/>
      <c r="I5" s="338"/>
      <c r="J5" s="338"/>
    </row>
    <row r="6" spans="2:12" ht="16.5" x14ac:dyDescent="0.25">
      <c r="B6" s="197"/>
      <c r="C6" s="197"/>
      <c r="D6" s="197"/>
      <c r="E6" s="197"/>
      <c r="F6" s="197"/>
      <c r="G6" s="197"/>
      <c r="H6" s="197"/>
      <c r="I6" s="197"/>
      <c r="J6" s="197"/>
    </row>
    <row r="7" spans="2:12" ht="15.75" x14ac:dyDescent="0.25">
      <c r="B7" s="198" t="s">
        <v>435</v>
      </c>
      <c r="C7" s="199" t="s">
        <v>436</v>
      </c>
      <c r="D7" s="199" t="s">
        <v>151</v>
      </c>
      <c r="E7" s="199" t="s">
        <v>152</v>
      </c>
      <c r="F7" s="199" t="s">
        <v>153</v>
      </c>
      <c r="G7" s="199" t="s">
        <v>154</v>
      </c>
      <c r="H7" s="199" t="s">
        <v>155</v>
      </c>
      <c r="I7" s="199" t="s">
        <v>156</v>
      </c>
      <c r="J7" s="199" t="s">
        <v>157</v>
      </c>
      <c r="L7" s="200"/>
    </row>
    <row r="8" spans="2:12" x14ac:dyDescent="0.25">
      <c r="B8" s="74"/>
      <c r="C8" s="74"/>
      <c r="D8" s="74"/>
      <c r="E8" s="74"/>
      <c r="F8" s="74"/>
      <c r="G8" s="74"/>
      <c r="H8" s="74"/>
      <c r="I8" s="74"/>
      <c r="J8" s="74"/>
    </row>
    <row r="9" spans="2:12" x14ac:dyDescent="0.25">
      <c r="B9" s="74" t="s">
        <v>437</v>
      </c>
      <c r="C9" s="74"/>
      <c r="D9" s="201">
        <f>'6.Cons Profit &amp; Loss'!B51</f>
        <v>2159559.2585459817</v>
      </c>
      <c r="E9" s="201">
        <f>'6.Cons Profit &amp; Loss'!C51</f>
        <v>2418890.9564583106</v>
      </c>
      <c r="F9" s="201">
        <f>'6.Cons Profit &amp; Loss'!D51</f>
        <v>3210883.1275966158</v>
      </c>
      <c r="G9" s="201">
        <f>'6.Cons Profit &amp; Loss'!E51</f>
        <v>4101005.789736636</v>
      </c>
      <c r="H9" s="201">
        <f>'6.Cons Profit &amp; Loss'!F51</f>
        <v>4987699.2781944927</v>
      </c>
      <c r="I9" s="201">
        <f>'6.Cons Profit &amp; Loss'!G51</f>
        <v>5905665.0268290564</v>
      </c>
      <c r="J9" s="201">
        <f>'6.Cons Profit &amp; Loss'!H51</f>
        <v>6841616.3964410946</v>
      </c>
    </row>
    <row r="10" spans="2:12" x14ac:dyDescent="0.25">
      <c r="B10" s="74"/>
      <c r="C10" s="74"/>
      <c r="D10" s="201"/>
      <c r="E10" s="201"/>
      <c r="F10" s="201"/>
      <c r="G10" s="201"/>
      <c r="H10" s="201"/>
      <c r="I10" s="201"/>
      <c r="J10" s="201"/>
    </row>
    <row r="11" spans="2:12" x14ac:dyDescent="0.25">
      <c r="B11" s="77" t="s">
        <v>438</v>
      </c>
      <c r="C11" s="77"/>
      <c r="D11" s="201">
        <f>'6.Cons Profit &amp; Loss'!B42</f>
        <v>1186617.0737640001</v>
      </c>
      <c r="E11" s="201">
        <f>'6.Cons Profit &amp; Loss'!C42</f>
        <v>1186617.0737640001</v>
      </c>
      <c r="F11" s="201">
        <f>'6.Cons Profit &amp; Loss'!D42</f>
        <v>1186617.0737640001</v>
      </c>
      <c r="G11" s="201">
        <f>'6.Cons Profit &amp; Loss'!E42</f>
        <v>1186617.0737640001</v>
      </c>
      <c r="H11" s="201">
        <f>'6.Cons Profit &amp; Loss'!F42</f>
        <v>1186617.0737640001</v>
      </c>
      <c r="I11" s="201">
        <f>'6.Cons Profit &amp; Loss'!G42</f>
        <v>1186617.0737640001</v>
      </c>
      <c r="J11" s="201">
        <f>'6.Cons Profit &amp; Loss'!H42</f>
        <v>1186617.0737640001</v>
      </c>
    </row>
    <row r="12" spans="2:12" x14ac:dyDescent="0.25">
      <c r="B12" s="74" t="s">
        <v>439</v>
      </c>
      <c r="C12" s="74"/>
      <c r="D12" s="201">
        <f>'6.Cons Profit &amp; Loss'!B43</f>
        <v>90000</v>
      </c>
      <c r="E12" s="201">
        <f>'6.Cons Profit &amp; Loss'!C43</f>
        <v>90000</v>
      </c>
      <c r="F12" s="201">
        <f>'6.Cons Profit &amp; Loss'!D43</f>
        <v>90000</v>
      </c>
      <c r="G12" s="201">
        <f>'6.Cons Profit &amp; Loss'!E43</f>
        <v>90000</v>
      </c>
      <c r="H12" s="201">
        <f>'6.Cons Profit &amp; Loss'!F43</f>
        <v>90000</v>
      </c>
      <c r="I12" s="201">
        <f>'6.Cons Profit &amp; Loss'!G43</f>
        <v>0</v>
      </c>
      <c r="J12" s="201">
        <f>'6.Cons Profit &amp; Loss'!H43</f>
        <v>0</v>
      </c>
    </row>
    <row r="13" spans="2:12" x14ac:dyDescent="0.25">
      <c r="B13" s="74"/>
      <c r="C13" s="74"/>
      <c r="D13" s="74"/>
      <c r="E13" s="74"/>
      <c r="F13" s="74"/>
      <c r="G13" s="74"/>
      <c r="H13" s="74"/>
      <c r="I13" s="74"/>
      <c r="J13" s="74"/>
    </row>
    <row r="14" spans="2:12" x14ac:dyDescent="0.25">
      <c r="B14" s="74" t="s">
        <v>440</v>
      </c>
      <c r="C14" s="74"/>
      <c r="D14" s="201">
        <f t="shared" ref="D14:J14" si="0">SUM(D9:D12)</f>
        <v>3436176.3323099818</v>
      </c>
      <c r="E14" s="201">
        <f t="shared" si="0"/>
        <v>3695508.0302223107</v>
      </c>
      <c r="F14" s="201">
        <f t="shared" si="0"/>
        <v>4487500.2013606159</v>
      </c>
      <c r="G14" s="201">
        <f t="shared" si="0"/>
        <v>5377622.8635006361</v>
      </c>
      <c r="H14" s="201">
        <f t="shared" si="0"/>
        <v>6264316.3519584928</v>
      </c>
      <c r="I14" s="201">
        <f t="shared" si="0"/>
        <v>7092282.1005930565</v>
      </c>
      <c r="J14" s="201">
        <f t="shared" si="0"/>
        <v>8028233.4702050947</v>
      </c>
    </row>
    <row r="15" spans="2:12" x14ac:dyDescent="0.25">
      <c r="B15" s="74" t="s">
        <v>441</v>
      </c>
      <c r="C15" s="202">
        <f>-'1.Project Cost and MOF'!D12</f>
        <v>-23820447.18866438</v>
      </c>
      <c r="D15" s="201">
        <f t="shared" ref="D15:J15" si="1">D14</f>
        <v>3436176.3323099818</v>
      </c>
      <c r="E15" s="201">
        <f t="shared" si="1"/>
        <v>3695508.0302223107</v>
      </c>
      <c r="F15" s="201">
        <f t="shared" si="1"/>
        <v>4487500.2013606159</v>
      </c>
      <c r="G15" s="201">
        <f t="shared" si="1"/>
        <v>5377622.8635006361</v>
      </c>
      <c r="H15" s="201">
        <f t="shared" si="1"/>
        <v>6264316.3519584928</v>
      </c>
      <c r="I15" s="201">
        <f t="shared" si="1"/>
        <v>7092282.1005930565</v>
      </c>
      <c r="J15" s="201">
        <f t="shared" si="1"/>
        <v>8028233.4702050947</v>
      </c>
    </row>
    <row r="16" spans="2:12" x14ac:dyDescent="0.25">
      <c r="B16" s="74" t="s">
        <v>442</v>
      </c>
      <c r="C16" s="203">
        <f>IRR(C15:J15)</f>
        <v>0.11526333803468836</v>
      </c>
      <c r="D16" s="201"/>
      <c r="E16" s="201"/>
      <c r="F16" s="201"/>
      <c r="G16" s="201"/>
      <c r="H16" s="201"/>
      <c r="I16" s="201"/>
      <c r="J16" s="201"/>
    </row>
    <row r="17" spans="2:19" x14ac:dyDescent="0.25">
      <c r="B17" s="74"/>
      <c r="C17" s="74"/>
      <c r="D17" s="74"/>
      <c r="E17" s="74"/>
      <c r="F17" s="74"/>
      <c r="G17" s="74"/>
      <c r="H17" s="74"/>
      <c r="I17" s="74"/>
      <c r="J17" s="74"/>
    </row>
    <row r="18" spans="2:19" ht="16.5" x14ac:dyDescent="0.25">
      <c r="B18" s="204" t="s">
        <v>443</v>
      </c>
      <c r="C18" s="85"/>
      <c r="D18" s="205">
        <f>1/(1+$C$16)</f>
        <v>0.89664921807812237</v>
      </c>
      <c r="E18" s="206">
        <f t="shared" ref="E18:J18" si="2">D18/(1+$C$16)</f>
        <v>0.80397982028010828</v>
      </c>
      <c r="F18" s="206">
        <f t="shared" si="2"/>
        <v>0.72088787720474845</v>
      </c>
      <c r="G18" s="206">
        <f t="shared" si="2"/>
        <v>0.64638355141763515</v>
      </c>
      <c r="H18" s="206">
        <f t="shared" si="2"/>
        <v>0.57957930595718232</v>
      </c>
      <c r="I18" s="206">
        <f t="shared" si="2"/>
        <v>0.51967933150076839</v>
      </c>
      <c r="J18" s="206">
        <f t="shared" si="2"/>
        <v>0.46597006624152532</v>
      </c>
      <c r="L18" s="207"/>
      <c r="M18" s="207"/>
      <c r="N18" s="207"/>
      <c r="O18" s="207"/>
      <c r="P18" s="207"/>
      <c r="Q18" s="207"/>
      <c r="R18" s="207"/>
      <c r="S18" s="207"/>
    </row>
    <row r="19" spans="2:19" x14ac:dyDescent="0.25">
      <c r="B19" s="74" t="s">
        <v>444</v>
      </c>
      <c r="C19" s="74"/>
      <c r="D19" s="201">
        <f t="shared" ref="D19:J19" si="3">D14*D18</f>
        <v>3081044.8215442956</v>
      </c>
      <c r="E19" s="201">
        <f t="shared" si="3"/>
        <v>2971113.8819818301</v>
      </c>
      <c r="F19" s="201">
        <f t="shared" si="3"/>
        <v>3234984.4941147356</v>
      </c>
      <c r="G19" s="201">
        <f t="shared" si="3"/>
        <v>3476006.9646942136</v>
      </c>
      <c r="H19" s="201">
        <f t="shared" si="3"/>
        <v>3630668.1235643313</v>
      </c>
      <c r="I19" s="201">
        <f t="shared" si="3"/>
        <v>3685712.4208510648</v>
      </c>
      <c r="J19" s="201">
        <f t="shared" si="3"/>
        <v>3740916.4819138986</v>
      </c>
      <c r="L19" s="208"/>
    </row>
    <row r="20" spans="2:19" x14ac:dyDescent="0.25">
      <c r="B20" s="74" t="s">
        <v>445</v>
      </c>
      <c r="C20" s="74"/>
      <c r="D20" s="382">
        <f>SUM(D19:J19)</f>
        <v>23820447.188664369</v>
      </c>
      <c r="E20" s="342"/>
      <c r="F20" s="342"/>
      <c r="G20" s="342"/>
      <c r="H20" s="342"/>
      <c r="I20" s="342"/>
      <c r="J20" s="343"/>
      <c r="L20" s="208"/>
    </row>
    <row r="21" spans="2:19" ht="15.75" customHeight="1" x14ac:dyDescent="0.25">
      <c r="B21" s="74"/>
      <c r="C21" s="74"/>
      <c r="D21" s="201"/>
      <c r="E21" s="201"/>
      <c r="F21" s="201"/>
      <c r="G21" s="201"/>
      <c r="H21" s="201"/>
      <c r="I21" s="201"/>
      <c r="J21" s="201"/>
    </row>
    <row r="22" spans="2:19" ht="15.75" customHeight="1" x14ac:dyDescent="0.25">
      <c r="B22" s="69" t="s">
        <v>446</v>
      </c>
      <c r="C22" s="69"/>
      <c r="D22" s="385">
        <f>'1.Project Cost and MOF'!D12</f>
        <v>23820447.18866438</v>
      </c>
      <c r="E22" s="338"/>
      <c r="F22" s="338"/>
      <c r="G22" s="338"/>
      <c r="H22" s="338"/>
      <c r="I22" s="338"/>
      <c r="J22" s="338"/>
    </row>
    <row r="23" spans="2:19" ht="15.75" customHeight="1" x14ac:dyDescent="0.25">
      <c r="F23" s="207">
        <f>D20-D22</f>
        <v>0</v>
      </c>
    </row>
    <row r="24" spans="2:19" ht="29.25" customHeight="1" x14ac:dyDescent="0.25">
      <c r="B24" s="386" t="s">
        <v>447</v>
      </c>
      <c r="C24" s="338"/>
      <c r="D24" s="338"/>
      <c r="E24" s="338"/>
      <c r="F24" s="338"/>
      <c r="G24" s="338"/>
      <c r="H24" s="338"/>
      <c r="I24" s="338"/>
      <c r="J24" s="338"/>
    </row>
    <row r="25" spans="2:19" ht="15.75" customHeight="1" x14ac:dyDescent="0.25">
      <c r="K25" s="207"/>
      <c r="L25" s="207"/>
      <c r="M25" s="207"/>
    </row>
    <row r="26" spans="2:19" ht="15.75" customHeight="1" x14ac:dyDescent="0.3">
      <c r="B26" s="354" t="s">
        <v>448</v>
      </c>
      <c r="C26" s="338"/>
      <c r="D26" s="338"/>
      <c r="E26" s="338"/>
      <c r="F26" s="338"/>
      <c r="G26" s="338"/>
      <c r="H26" s="338"/>
      <c r="I26" s="338"/>
    </row>
    <row r="27" spans="2:19" ht="15.75" customHeight="1" x14ac:dyDescent="0.25">
      <c r="K27" s="207"/>
    </row>
    <row r="28" spans="2:19" ht="15.75" customHeight="1" x14ac:dyDescent="0.25">
      <c r="B28" s="209" t="s">
        <v>148</v>
      </c>
      <c r="C28" s="210" t="s">
        <v>151</v>
      </c>
      <c r="D28" s="210" t="s">
        <v>152</v>
      </c>
      <c r="E28" s="210" t="s">
        <v>153</v>
      </c>
      <c r="F28" s="210" t="s">
        <v>154</v>
      </c>
      <c r="G28" s="210" t="s">
        <v>155</v>
      </c>
      <c r="H28" s="210" t="s">
        <v>156</v>
      </c>
      <c r="I28" s="210" t="s">
        <v>157</v>
      </c>
    </row>
    <row r="29" spans="2:19" ht="15.75" customHeight="1" x14ac:dyDescent="0.25">
      <c r="B29" s="74"/>
      <c r="C29" s="74"/>
      <c r="D29" s="74"/>
      <c r="E29" s="74"/>
      <c r="F29" s="74"/>
      <c r="G29" s="74"/>
      <c r="H29" s="74"/>
      <c r="I29" s="74"/>
    </row>
    <row r="30" spans="2:19" ht="15.75" customHeight="1" x14ac:dyDescent="0.25">
      <c r="B30" s="74" t="s">
        <v>449</v>
      </c>
      <c r="C30" s="74"/>
      <c r="D30" s="74"/>
      <c r="E30" s="74"/>
      <c r="F30" s="74"/>
      <c r="G30" s="74"/>
      <c r="H30" s="74"/>
      <c r="I30" s="74"/>
    </row>
    <row r="31" spans="2:19" ht="15.75" customHeight="1" x14ac:dyDescent="0.25">
      <c r="B31" s="74"/>
      <c r="C31" s="76"/>
      <c r="D31" s="76"/>
      <c r="E31" s="76"/>
      <c r="F31" s="76"/>
      <c r="G31" s="76"/>
      <c r="H31" s="76"/>
      <c r="I31" s="76"/>
    </row>
    <row r="32" spans="2:19" ht="15.75" customHeight="1" x14ac:dyDescent="0.25">
      <c r="B32" s="211" t="str">
        <f>'6.Cons Profit &amp; Loss'!A8</f>
        <v>Faclitiy 1 - Cleaning &amp; Grading</v>
      </c>
      <c r="C32" s="76">
        <f>'6.Cons Profit &amp; Loss'!B8</f>
        <v>4088314.9999999995</v>
      </c>
      <c r="D32" s="76">
        <f>'6.Cons Profit &amp; Loss'!C8</f>
        <v>5590492.6874999991</v>
      </c>
      <c r="E32" s="76">
        <f>'6.Cons Profit &amp; Loss'!D8</f>
        <v>7055811.1968750004</v>
      </c>
      <c r="F32" s="76">
        <f>'6.Cons Profit &amp; Loss'!E8</f>
        <v>8653685.3254687507</v>
      </c>
      <c r="G32" s="76">
        <f>'6.Cons Profit &amp; Loss'!F8</f>
        <v>10393707.338929687</v>
      </c>
      <c r="H32" s="76">
        <f>'6.Cons Profit &amp; Loss'!G8</f>
        <v>12286097.340423048</v>
      </c>
      <c r="I32" s="76">
        <f>'6.Cons Profit &amp; Loss'!H8</f>
        <v>14341742.073718423</v>
      </c>
    </row>
    <row r="33" spans="2:9" ht="15.75" customHeight="1" x14ac:dyDescent="0.25">
      <c r="B33" s="211" t="str">
        <f>'6.Cons Profit &amp; Loss'!A9</f>
        <v>Faclitiy 2 - Processing Unit- TURMERIC PLANT</v>
      </c>
      <c r="C33" s="76">
        <f>'6.Cons Profit &amp; Loss'!B9</f>
        <v>27564337.5</v>
      </c>
      <c r="D33" s="76">
        <f>'6.Cons Profit &amp; Loss'!C9</f>
        <v>31836809.8125</v>
      </c>
      <c r="E33" s="76">
        <f>'6.Cons Profit &amp; Loss'!D9</f>
        <v>36467618.51250001</v>
      </c>
      <c r="F33" s="76">
        <f>'6.Cons Profit &amp; Loss'!E9</f>
        <v>41481916.057968765</v>
      </c>
      <c r="G33" s="76">
        <f>'6.Cons Profit &amp; Loss'!F9</f>
        <v>46906474.311703146</v>
      </c>
      <c r="H33" s="76">
        <f>'6.Cons Profit &amp; Loss'!G9</f>
        <v>52769783.600666039</v>
      </c>
      <c r="I33" s="76">
        <f>'6.Cons Profit &amp; Loss'!H9</f>
        <v>59102157.632745989</v>
      </c>
    </row>
    <row r="34" spans="2:9" ht="15.75" customHeight="1" x14ac:dyDescent="0.25">
      <c r="B34" s="211" t="str">
        <f>'6.Cons Profit &amp; Loss'!A10</f>
        <v>Faclitiy 3 - Warehouse</v>
      </c>
      <c r="C34" s="76">
        <f>'6.Cons Profit &amp; Loss'!B10</f>
        <v>0</v>
      </c>
      <c r="D34" s="76">
        <f>'6.Cons Profit &amp; Loss'!C10</f>
        <v>0</v>
      </c>
      <c r="E34" s="76">
        <f>'6.Cons Profit &amp; Loss'!D10</f>
        <v>0</v>
      </c>
      <c r="F34" s="76">
        <f>'6.Cons Profit &amp; Loss'!E10</f>
        <v>0</v>
      </c>
      <c r="G34" s="76">
        <f>'6.Cons Profit &amp; Loss'!F10</f>
        <v>0</v>
      </c>
      <c r="H34" s="76">
        <f>'6.Cons Profit &amp; Loss'!G10</f>
        <v>0</v>
      </c>
      <c r="I34" s="76">
        <f>'6.Cons Profit &amp; Loss'!H10</f>
        <v>0</v>
      </c>
    </row>
    <row r="35" spans="2:9" ht="15.75" customHeight="1" x14ac:dyDescent="0.25">
      <c r="B35" s="211" t="str">
        <f>'6.Cons Profit &amp; Loss'!A11</f>
        <v xml:space="preserve">Faclitiy 4 - Custom Hiring </v>
      </c>
      <c r="C35" s="76">
        <f>'6.Cons Profit &amp; Loss'!B11</f>
        <v>0</v>
      </c>
      <c r="D35" s="76">
        <f>'6.Cons Profit &amp; Loss'!C11</f>
        <v>0</v>
      </c>
      <c r="E35" s="76">
        <f>'6.Cons Profit &amp; Loss'!D11</f>
        <v>0</v>
      </c>
      <c r="F35" s="76">
        <f>'6.Cons Profit &amp; Loss'!E11</f>
        <v>0</v>
      </c>
      <c r="G35" s="76">
        <f>'6.Cons Profit &amp; Loss'!F11</f>
        <v>0</v>
      </c>
      <c r="H35" s="76">
        <f>'6.Cons Profit &amp; Loss'!G11</f>
        <v>0</v>
      </c>
      <c r="I35" s="76">
        <f>'6.Cons Profit &amp; Loss'!H11</f>
        <v>0</v>
      </c>
    </row>
    <row r="36" spans="2:9" ht="15.75" customHeight="1" x14ac:dyDescent="0.25">
      <c r="B36" s="211" t="str">
        <f>'6.Cons Profit &amp; Loss'!A12</f>
        <v>Faclitiy 5 - Agri Input Centre</v>
      </c>
      <c r="C36" s="76">
        <f>'6.Cons Profit &amp; Loss'!B12</f>
        <v>4189500</v>
      </c>
      <c r="D36" s="76">
        <f>'6.Cons Profit &amp; Loss'!C12</f>
        <v>5730243.75</v>
      </c>
      <c r="E36" s="76">
        <f>'6.Cons Profit &amp; Loss'!D12</f>
        <v>7232262.1875</v>
      </c>
      <c r="F36" s="76">
        <f>'6.Cons Profit &amp; Loss'!E12</f>
        <v>8870156.8593750019</v>
      </c>
      <c r="G36" s="76">
        <f>'6.Cons Profit &amp; Loss'!F12</f>
        <v>10653760.342968753</v>
      </c>
      <c r="H36" s="76">
        <f>'6.Cons Profit &amp; Loss'!G12</f>
        <v>12593548.782773441</v>
      </c>
      <c r="I36" s="76">
        <f>'6.Cons Profit &amp; Loss'!H12</f>
        <v>14700681.665701177</v>
      </c>
    </row>
    <row r="37" spans="2:9" ht="15.75" customHeight="1" x14ac:dyDescent="0.25">
      <c r="B37" s="211" t="str">
        <f>'6.Cons Profit &amp; Loss'!A13</f>
        <v>Facility 6 - Processing Unit - Horti Commodity</v>
      </c>
      <c r="C37" s="76">
        <f>'6.Cons Profit &amp; Loss'!B13</f>
        <v>0</v>
      </c>
      <c r="D37" s="76">
        <f>'6.Cons Profit &amp; Loss'!C13</f>
        <v>0</v>
      </c>
      <c r="E37" s="76">
        <f>'6.Cons Profit &amp; Loss'!D13</f>
        <v>0</v>
      </c>
      <c r="F37" s="76">
        <f>'6.Cons Profit &amp; Loss'!E13</f>
        <v>0</v>
      </c>
      <c r="G37" s="76">
        <f>'6.Cons Profit &amp; Loss'!F13</f>
        <v>0</v>
      </c>
      <c r="H37" s="76">
        <f>'6.Cons Profit &amp; Loss'!G13</f>
        <v>0</v>
      </c>
      <c r="I37" s="76">
        <f>'6.Cons Profit &amp; Loss'!H13</f>
        <v>0</v>
      </c>
    </row>
    <row r="38" spans="2:9" ht="15.75" customHeight="1" x14ac:dyDescent="0.25">
      <c r="B38" s="211"/>
      <c r="C38" s="211"/>
      <c r="D38" s="211"/>
      <c r="E38" s="211"/>
      <c r="F38" s="211"/>
      <c r="G38" s="211"/>
      <c r="H38" s="211"/>
      <c r="I38" s="211"/>
    </row>
    <row r="39" spans="2:9" ht="15.75" customHeight="1" x14ac:dyDescent="0.25">
      <c r="B39" s="74" t="s">
        <v>450</v>
      </c>
      <c r="C39" s="76">
        <f t="shared" ref="C39:I39" si="4">SUM(C32:C38)</f>
        <v>35842152.5</v>
      </c>
      <c r="D39" s="76">
        <f t="shared" si="4"/>
        <v>43157546.25</v>
      </c>
      <c r="E39" s="76">
        <f t="shared" si="4"/>
        <v>50755691.896875009</v>
      </c>
      <c r="F39" s="76">
        <f t="shared" si="4"/>
        <v>59005758.242812514</v>
      </c>
      <c r="G39" s="76">
        <f t="shared" si="4"/>
        <v>67953941.993601575</v>
      </c>
      <c r="H39" s="76">
        <f t="shared" si="4"/>
        <v>77649429.723862529</v>
      </c>
      <c r="I39" s="76">
        <f t="shared" si="4"/>
        <v>88144581.372165591</v>
      </c>
    </row>
    <row r="40" spans="2:9" ht="15.75" customHeight="1" x14ac:dyDescent="0.25">
      <c r="B40" s="74"/>
      <c r="C40" s="76"/>
      <c r="D40" s="76"/>
      <c r="E40" s="76"/>
      <c r="F40" s="76"/>
      <c r="G40" s="76"/>
      <c r="H40" s="76"/>
      <c r="I40" s="76"/>
    </row>
    <row r="41" spans="2:9" ht="15.75" customHeight="1" x14ac:dyDescent="0.25">
      <c r="B41" s="74" t="s">
        <v>451</v>
      </c>
      <c r="C41" s="76">
        <f>'6.Cons Profit &amp; Loss'!B25</f>
        <v>28857806.425000001</v>
      </c>
      <c r="D41" s="76">
        <f>'6.Cons Profit &amp; Loss'!C25</f>
        <v>35663655.8359375</v>
      </c>
      <c r="E41" s="76">
        <f>'6.Cons Profit &amp; Loss'!D25</f>
        <v>42127769.965968758</v>
      </c>
      <c r="F41" s="76">
        <f>'6.Cons Profit &amp; Loss'!E25</f>
        <v>49149136.369413294</v>
      </c>
      <c r="G41" s="76">
        <f>'6.Cons Profit &amp; Loss'!F25</f>
        <v>56767319.988287352</v>
      </c>
      <c r="H41" s="76">
        <f>'6.Cons Profit &amp; Loss'!G25</f>
        <v>65024449.128125295</v>
      </c>
      <c r="I41" s="76">
        <f>'6.Cons Profit &amp; Loss'!H25</f>
        <v>73965372.881976321</v>
      </c>
    </row>
    <row r="42" spans="2:9" ht="15.75" customHeight="1" x14ac:dyDescent="0.25">
      <c r="B42" s="74"/>
      <c r="C42" s="76"/>
      <c r="D42" s="76"/>
      <c r="E42" s="76"/>
      <c r="F42" s="76"/>
      <c r="G42" s="76"/>
      <c r="H42" s="76"/>
      <c r="I42" s="76"/>
    </row>
    <row r="43" spans="2:9" ht="15.75" customHeight="1" x14ac:dyDescent="0.25">
      <c r="B43" s="77" t="s">
        <v>452</v>
      </c>
      <c r="C43" s="78">
        <f t="shared" ref="C43:I43" si="5">C39-C41</f>
        <v>6984346.0749999993</v>
      </c>
      <c r="D43" s="78">
        <f t="shared" si="5"/>
        <v>7493890.4140625</v>
      </c>
      <c r="E43" s="78">
        <f t="shared" si="5"/>
        <v>8627921.9309062511</v>
      </c>
      <c r="F43" s="78">
        <f t="shared" si="5"/>
        <v>9856621.8733992204</v>
      </c>
      <c r="G43" s="78">
        <f t="shared" si="5"/>
        <v>11186622.005314223</v>
      </c>
      <c r="H43" s="78">
        <f t="shared" si="5"/>
        <v>12624980.595737234</v>
      </c>
      <c r="I43" s="78">
        <f t="shared" si="5"/>
        <v>14179208.490189269</v>
      </c>
    </row>
    <row r="44" spans="2:9" ht="15.75" customHeight="1" x14ac:dyDescent="0.25">
      <c r="B44" s="74"/>
      <c r="C44" s="76"/>
      <c r="D44" s="76"/>
      <c r="E44" s="76"/>
      <c r="F44" s="76"/>
      <c r="G44" s="76"/>
      <c r="H44" s="76"/>
      <c r="I44" s="76"/>
    </row>
    <row r="45" spans="2:9" ht="15.75" customHeight="1" x14ac:dyDescent="0.25">
      <c r="B45" s="77" t="s">
        <v>453</v>
      </c>
      <c r="C45" s="78">
        <f>'6.Cons Profit &amp; Loss'!B36+'6.Cons Profit &amp; Loss'!B42+'6.Cons Profit &amp; Loss'!B43</f>
        <v>3667617.0737640001</v>
      </c>
      <c r="D45" s="78">
        <f>'6.Cons Profit &amp; Loss'!C36+'6.Cons Profit &amp; Loss'!C42+'6.Cons Profit &amp; Loss'!C43</f>
        <v>3787167.0737640001</v>
      </c>
      <c r="E45" s="78">
        <f>'6.Cons Profit &amp; Loss'!D36+'6.Cons Profit &amp; Loss'!D42+'6.Cons Profit &amp; Loss'!D43</f>
        <v>3912694.5737640001</v>
      </c>
      <c r="F45" s="78">
        <f>'6.Cons Profit &amp; Loss'!E36+'6.Cons Profit &amp; Loss'!E42+'6.Cons Profit &amp; Loss'!E43</f>
        <v>4044498.4487640006</v>
      </c>
      <c r="G45" s="78">
        <f>'6.Cons Profit &amp; Loss'!F36+'6.Cons Profit &amp; Loss'!F42+'6.Cons Profit &amp; Loss'!F43</f>
        <v>4182892.5175140006</v>
      </c>
      <c r="H45" s="78">
        <f>'6.Cons Profit &amp; Loss'!G36+'6.Cons Profit &amp; Loss'!G42+'6.Cons Profit &amp; Loss'!G43</f>
        <v>4238206.2897015009</v>
      </c>
      <c r="I45" s="78">
        <f>'6.Cons Profit &amp; Loss'!H36+'6.Cons Profit &amp; Loss'!H42+'6.Cons Profit &amp; Loss'!H43</f>
        <v>4390785.7504983759</v>
      </c>
    </row>
    <row r="46" spans="2:9" ht="15.75" customHeight="1" x14ac:dyDescent="0.25">
      <c r="B46" s="74"/>
      <c r="C46" s="74"/>
      <c r="D46" s="74"/>
      <c r="E46" s="74"/>
      <c r="F46" s="74"/>
      <c r="G46" s="74"/>
      <c r="H46" s="74"/>
      <c r="I46" s="74"/>
    </row>
    <row r="47" spans="2:9" ht="15.75" customHeight="1" x14ac:dyDescent="0.25">
      <c r="B47" s="74" t="s">
        <v>454</v>
      </c>
      <c r="C47" s="127">
        <f t="shared" ref="C47:I47" si="6">C45/C43</f>
        <v>0.52511960810361202</v>
      </c>
      <c r="D47" s="127">
        <f t="shared" si="6"/>
        <v>0.5053672878185238</v>
      </c>
      <c r="E47" s="127">
        <f t="shared" si="6"/>
        <v>0.45349211607354245</v>
      </c>
      <c r="F47" s="127">
        <f t="shared" si="6"/>
        <v>0.41033312434143199</v>
      </c>
      <c r="G47" s="127">
        <f t="shared" si="6"/>
        <v>0.37391917913440809</v>
      </c>
      <c r="H47" s="127">
        <f t="shared" si="6"/>
        <v>0.33570002405647353</v>
      </c>
      <c r="I47" s="127">
        <f t="shared" si="6"/>
        <v>0.3096636708273528</v>
      </c>
    </row>
    <row r="48" spans="2:9" ht="15.75" customHeight="1" x14ac:dyDescent="0.25">
      <c r="B48" s="69"/>
      <c r="C48" s="69"/>
      <c r="D48" s="69"/>
      <c r="E48" s="69"/>
      <c r="F48" s="69"/>
      <c r="G48" s="69"/>
      <c r="H48" s="69"/>
      <c r="I48" s="69"/>
    </row>
    <row r="49" spans="2:10" ht="15.75" customHeight="1" x14ac:dyDescent="0.25">
      <c r="B49" s="93" t="s">
        <v>455</v>
      </c>
      <c r="C49" s="212">
        <f>AVERAGE(C47:I47)</f>
        <v>0.41622785862219208</v>
      </c>
      <c r="D49" s="69"/>
      <c r="E49" s="69"/>
      <c r="F49" s="69"/>
      <c r="G49" s="69"/>
      <c r="H49" s="69"/>
      <c r="I49" s="69"/>
    </row>
    <row r="50" spans="2:10" ht="15.75" customHeight="1" x14ac:dyDescent="0.25"/>
    <row r="51" spans="2:10" ht="41.25" customHeight="1" x14ac:dyDescent="0.25">
      <c r="B51" s="387" t="s">
        <v>456</v>
      </c>
      <c r="C51" s="338"/>
      <c r="D51" s="338"/>
      <c r="E51" s="338"/>
      <c r="F51" s="338"/>
      <c r="G51" s="338"/>
      <c r="H51" s="338"/>
      <c r="I51" s="338"/>
      <c r="J51" s="338"/>
    </row>
    <row r="52" spans="2:10" ht="15.75" customHeight="1" x14ac:dyDescent="0.25"/>
    <row r="53" spans="2:10" ht="15.75" customHeight="1" x14ac:dyDescent="0.25"/>
    <row r="54" spans="2:10" ht="15.75" customHeight="1" x14ac:dyDescent="0.3">
      <c r="B54" s="354" t="s">
        <v>457</v>
      </c>
      <c r="C54" s="338"/>
      <c r="D54" s="338"/>
      <c r="E54" s="338"/>
      <c r="F54" s="338"/>
      <c r="G54" s="338"/>
      <c r="H54" s="338"/>
      <c r="I54" s="338"/>
    </row>
    <row r="55" spans="2:10" ht="15.75" customHeight="1" x14ac:dyDescent="0.25"/>
    <row r="56" spans="2:10" ht="15.75" customHeight="1" x14ac:dyDescent="0.25">
      <c r="B56" s="124" t="s">
        <v>435</v>
      </c>
      <c r="C56" s="125" t="s">
        <v>151</v>
      </c>
      <c r="D56" s="125" t="s">
        <v>152</v>
      </c>
      <c r="E56" s="125" t="s">
        <v>153</v>
      </c>
      <c r="F56" s="125" t="s">
        <v>154</v>
      </c>
      <c r="G56" s="125" t="s">
        <v>155</v>
      </c>
      <c r="H56" s="125" t="s">
        <v>156</v>
      </c>
      <c r="I56" s="125" t="s">
        <v>157</v>
      </c>
    </row>
    <row r="57" spans="2:10" ht="15.75" customHeight="1" x14ac:dyDescent="0.25">
      <c r="B57" s="74"/>
      <c r="C57" s="74"/>
      <c r="D57" s="74"/>
      <c r="E57" s="74"/>
      <c r="F57" s="74"/>
      <c r="G57" s="74"/>
      <c r="H57" s="74"/>
      <c r="I57" s="74"/>
    </row>
    <row r="58" spans="2:10" ht="15.75" customHeight="1" x14ac:dyDescent="0.25">
      <c r="B58" s="74" t="s">
        <v>458</v>
      </c>
      <c r="C58" s="213">
        <f>'6.Cons Profit &amp; Loss'!B51</f>
        <v>2159559.2585459817</v>
      </c>
      <c r="D58" s="213">
        <f>'6.Cons Profit &amp; Loss'!C51</f>
        <v>2418890.9564583106</v>
      </c>
      <c r="E58" s="213">
        <f>'6.Cons Profit &amp; Loss'!D51</f>
        <v>3210883.1275966158</v>
      </c>
      <c r="F58" s="213">
        <f>'6.Cons Profit &amp; Loss'!E51</f>
        <v>4101005.789736636</v>
      </c>
      <c r="G58" s="213">
        <f>'6.Cons Profit &amp; Loss'!F51</f>
        <v>4987699.2781944927</v>
      </c>
      <c r="H58" s="213">
        <f>'6.Cons Profit &amp; Loss'!G51</f>
        <v>5905665.0268290564</v>
      </c>
      <c r="I58" s="213">
        <f>'6.Cons Profit &amp; Loss'!H51</f>
        <v>6841616.3964410946</v>
      </c>
    </row>
    <row r="59" spans="2:10" ht="15.75" customHeight="1" x14ac:dyDescent="0.25">
      <c r="B59" s="74"/>
      <c r="C59" s="213"/>
      <c r="D59" s="213"/>
      <c r="E59" s="213"/>
      <c r="F59" s="213"/>
      <c r="G59" s="213"/>
      <c r="H59" s="213"/>
      <c r="I59" s="213"/>
    </row>
    <row r="60" spans="2:10" ht="15.75" customHeight="1" x14ac:dyDescent="0.25">
      <c r="B60" s="74" t="s">
        <v>459</v>
      </c>
      <c r="C60" s="213">
        <f>'6.Cons Profit &amp; Loss'!B42</f>
        <v>1186617.0737640001</v>
      </c>
      <c r="D60" s="213">
        <f>'6.Cons Profit &amp; Loss'!C42</f>
        <v>1186617.0737640001</v>
      </c>
      <c r="E60" s="213">
        <f>'6.Cons Profit &amp; Loss'!D42</f>
        <v>1186617.0737640001</v>
      </c>
      <c r="F60" s="213">
        <f>'6.Cons Profit &amp; Loss'!E42</f>
        <v>1186617.0737640001</v>
      </c>
      <c r="G60" s="213">
        <f>'6.Cons Profit &amp; Loss'!F42</f>
        <v>1186617.0737640001</v>
      </c>
      <c r="H60" s="213">
        <f>'6.Cons Profit &amp; Loss'!G42</f>
        <v>1186617.0737640001</v>
      </c>
      <c r="I60" s="213">
        <f>'6.Cons Profit &amp; Loss'!H42</f>
        <v>1186617.0737640001</v>
      </c>
    </row>
    <row r="61" spans="2:10" ht="15.75" customHeight="1" x14ac:dyDescent="0.25">
      <c r="B61" s="191" t="s">
        <v>460</v>
      </c>
      <c r="C61" s="213">
        <f>'6.Cons Profit &amp; Loss'!B43</f>
        <v>90000</v>
      </c>
      <c r="D61" s="213">
        <f>'6.Cons Profit &amp; Loss'!C43</f>
        <v>90000</v>
      </c>
      <c r="E61" s="213">
        <f>'6.Cons Profit &amp; Loss'!D43</f>
        <v>90000</v>
      </c>
      <c r="F61" s="213">
        <f>'6.Cons Profit &amp; Loss'!E43</f>
        <v>90000</v>
      </c>
      <c r="G61" s="213">
        <f>'6.Cons Profit &amp; Loss'!F43</f>
        <v>90000</v>
      </c>
      <c r="H61" s="213">
        <f>'6.Cons Profit &amp; Loss'!G43</f>
        <v>0</v>
      </c>
      <c r="I61" s="213">
        <f>'6.Cons Profit &amp; Loss'!H43</f>
        <v>0</v>
      </c>
    </row>
    <row r="62" spans="2:10" ht="15.75" customHeight="1" x14ac:dyDescent="0.25">
      <c r="B62" s="74"/>
      <c r="C62" s="213"/>
      <c r="D62" s="213"/>
      <c r="E62" s="213"/>
      <c r="F62" s="213"/>
      <c r="G62" s="213"/>
      <c r="H62" s="213"/>
      <c r="I62" s="213"/>
    </row>
    <row r="63" spans="2:10" ht="15.75" customHeight="1" x14ac:dyDescent="0.25">
      <c r="B63" s="74" t="s">
        <v>440</v>
      </c>
      <c r="C63" s="213">
        <f t="shared" ref="C63:I63" si="7">SUM(C58:C61)</f>
        <v>3436176.3323099818</v>
      </c>
      <c r="D63" s="213">
        <f t="shared" si="7"/>
        <v>3695508.0302223107</v>
      </c>
      <c r="E63" s="213">
        <f t="shared" si="7"/>
        <v>4487500.2013606159</v>
      </c>
      <c r="F63" s="213">
        <f t="shared" si="7"/>
        <v>5377622.8635006361</v>
      </c>
      <c r="G63" s="213">
        <f t="shared" si="7"/>
        <v>6264316.3519584928</v>
      </c>
      <c r="H63" s="213">
        <f t="shared" si="7"/>
        <v>7092282.1005930565</v>
      </c>
      <c r="I63" s="213">
        <f t="shared" si="7"/>
        <v>8028233.4702050947</v>
      </c>
    </row>
    <row r="64" spans="2:10" ht="15.75" customHeight="1" x14ac:dyDescent="0.25">
      <c r="B64" s="74"/>
      <c r="C64" s="74"/>
      <c r="D64" s="74"/>
      <c r="E64" s="74"/>
      <c r="F64" s="74"/>
      <c r="G64" s="74"/>
      <c r="H64" s="74"/>
      <c r="I64" s="74"/>
    </row>
    <row r="65" spans="2:10" ht="15.75" customHeight="1" x14ac:dyDescent="0.25">
      <c r="B65" s="214" t="s">
        <v>461</v>
      </c>
      <c r="C65" s="211">
        <f>1/1.1</f>
        <v>0.90909090909090906</v>
      </c>
      <c r="D65" s="211">
        <f t="shared" ref="D65:I65" si="8">C65/1.1</f>
        <v>0.82644628099173545</v>
      </c>
      <c r="E65" s="211">
        <f t="shared" si="8"/>
        <v>0.75131480090157765</v>
      </c>
      <c r="F65" s="211">
        <f t="shared" si="8"/>
        <v>0.68301345536507052</v>
      </c>
      <c r="G65" s="211">
        <f t="shared" si="8"/>
        <v>0.62092132305915493</v>
      </c>
      <c r="H65" s="211">
        <f t="shared" si="8"/>
        <v>0.56447393005377711</v>
      </c>
      <c r="I65" s="211">
        <f t="shared" si="8"/>
        <v>0.51315811823070645</v>
      </c>
    </row>
    <row r="66" spans="2:10" ht="15.75" customHeight="1" x14ac:dyDescent="0.25">
      <c r="B66" s="74"/>
      <c r="C66" s="74"/>
      <c r="D66" s="74"/>
      <c r="E66" s="74"/>
      <c r="F66" s="74"/>
      <c r="G66" s="74"/>
      <c r="H66" s="74"/>
      <c r="I66" s="74"/>
    </row>
    <row r="67" spans="2:10" ht="15.75" customHeight="1" x14ac:dyDescent="0.25">
      <c r="B67" s="214" t="s">
        <v>462</v>
      </c>
      <c r="C67" s="76">
        <f>C63*C65</f>
        <v>3123796.665736347</v>
      </c>
      <c r="D67" s="76">
        <f t="shared" ref="D67:I67" si="9">D63*D65</f>
        <v>3054138.8679523226</v>
      </c>
      <c r="E67" s="76">
        <f t="shared" si="9"/>
        <v>3371525.3203310408</v>
      </c>
      <c r="F67" s="76">
        <f t="shared" si="9"/>
        <v>3672988.7736497745</v>
      </c>
      <c r="G67" s="76">
        <f t="shared" si="9"/>
        <v>3889647.5973191662</v>
      </c>
      <c r="H67" s="76">
        <f t="shared" si="9"/>
        <v>4003408.3503718204</v>
      </c>
      <c r="I67" s="76">
        <f t="shared" si="9"/>
        <v>4119753.1802872205</v>
      </c>
    </row>
    <row r="68" spans="2:10" ht="15.75" customHeight="1" x14ac:dyDescent="0.25">
      <c r="B68" s="69"/>
      <c r="C68" s="115"/>
      <c r="D68" s="115"/>
      <c r="E68" s="115"/>
      <c r="F68" s="115"/>
      <c r="G68" s="115"/>
      <c r="H68" s="115"/>
      <c r="I68" s="115"/>
    </row>
    <row r="69" spans="2:10" ht="15.75" customHeight="1" x14ac:dyDescent="0.25">
      <c r="B69" s="215" t="s">
        <v>463</v>
      </c>
      <c r="C69" s="115">
        <f>SUM(C67:I67)</f>
        <v>25235258.755647689</v>
      </c>
      <c r="D69" s="115"/>
      <c r="E69" s="115"/>
      <c r="F69" s="115"/>
      <c r="G69" s="115"/>
      <c r="H69" s="115"/>
      <c r="I69" s="115"/>
    </row>
    <row r="70" spans="2:10" ht="15.75" customHeight="1" x14ac:dyDescent="0.25">
      <c r="B70" s="69"/>
      <c r="C70" s="115"/>
      <c r="D70" s="115"/>
      <c r="E70" s="115"/>
      <c r="F70" s="115"/>
      <c r="G70" s="115"/>
      <c r="H70" s="115"/>
      <c r="I70" s="115"/>
    </row>
    <row r="71" spans="2:10" ht="15.75" customHeight="1" x14ac:dyDescent="0.25">
      <c r="B71" s="215" t="s">
        <v>464</v>
      </c>
      <c r="C71" s="115">
        <f>'1.Project Cost and MOF'!D12</f>
        <v>23820447.18866438</v>
      </c>
      <c r="D71" s="115"/>
      <c r="E71" s="115"/>
      <c r="F71" s="115"/>
      <c r="G71" s="115"/>
      <c r="H71" s="115"/>
      <c r="I71" s="115"/>
    </row>
    <row r="72" spans="2:10" ht="15.75" customHeight="1" x14ac:dyDescent="0.25">
      <c r="B72" s="69"/>
      <c r="C72" s="216"/>
      <c r="D72" s="69"/>
      <c r="E72" s="69"/>
      <c r="F72" s="69"/>
      <c r="G72" s="69"/>
      <c r="H72" s="69"/>
      <c r="I72" s="69"/>
    </row>
    <row r="73" spans="2:10" ht="15.75" customHeight="1" x14ac:dyDescent="0.25">
      <c r="B73" s="215" t="s">
        <v>465</v>
      </c>
      <c r="C73" s="216">
        <f>C69-C71</f>
        <v>1414811.5669833086</v>
      </c>
      <c r="D73" s="69"/>
      <c r="E73" s="69"/>
      <c r="F73" s="69"/>
      <c r="G73" s="69"/>
      <c r="H73" s="69"/>
      <c r="I73" s="69"/>
    </row>
    <row r="74" spans="2:10" ht="15.75" customHeight="1" x14ac:dyDescent="0.25"/>
    <row r="75" spans="2:10" ht="34.5" customHeight="1" x14ac:dyDescent="0.25">
      <c r="B75" s="359" t="s">
        <v>466</v>
      </c>
      <c r="C75" s="338"/>
      <c r="D75" s="338"/>
      <c r="E75" s="338"/>
      <c r="F75" s="338"/>
      <c r="G75" s="338"/>
      <c r="H75" s="338"/>
      <c r="I75" s="338"/>
      <c r="J75" s="338"/>
    </row>
    <row r="76" spans="2:10" ht="15.75" customHeight="1" x14ac:dyDescent="0.3">
      <c r="B76" s="354" t="s">
        <v>467</v>
      </c>
      <c r="C76" s="338"/>
      <c r="D76" s="338"/>
      <c r="E76" s="338"/>
      <c r="F76" s="338"/>
      <c r="G76" s="338"/>
      <c r="H76" s="338"/>
      <c r="I76" s="338"/>
    </row>
    <row r="77" spans="2:10" ht="15.75" customHeight="1" x14ac:dyDescent="0.25">
      <c r="B77" s="69"/>
      <c r="C77" s="69"/>
      <c r="D77" s="69"/>
      <c r="E77" s="69"/>
      <c r="F77" s="69"/>
      <c r="G77" s="69"/>
      <c r="H77" s="69"/>
      <c r="I77" s="69"/>
    </row>
    <row r="78" spans="2:10" ht="15.75" customHeight="1" x14ac:dyDescent="0.25">
      <c r="B78" s="217" t="s">
        <v>148</v>
      </c>
      <c r="C78" s="217" t="s">
        <v>151</v>
      </c>
      <c r="D78" s="217" t="s">
        <v>152</v>
      </c>
      <c r="E78" s="217" t="s">
        <v>153</v>
      </c>
      <c r="F78" s="217" t="s">
        <v>154</v>
      </c>
      <c r="G78" s="217" t="s">
        <v>155</v>
      </c>
      <c r="H78" s="217" t="s">
        <v>156</v>
      </c>
      <c r="I78" s="217" t="s">
        <v>157</v>
      </c>
    </row>
    <row r="79" spans="2:10" ht="15.75" customHeight="1" x14ac:dyDescent="0.25">
      <c r="B79" s="218"/>
      <c r="C79" s="219"/>
      <c r="D79" s="219"/>
      <c r="E79" s="219"/>
      <c r="F79" s="219"/>
      <c r="G79" s="219"/>
      <c r="H79" s="219"/>
      <c r="I79" s="219"/>
    </row>
    <row r="80" spans="2:10" ht="15.75" customHeight="1" x14ac:dyDescent="0.25">
      <c r="B80" s="77" t="s">
        <v>468</v>
      </c>
      <c r="C80" s="76">
        <f>'6.Cons Profit &amp; Loss'!B51</f>
        <v>2159559.2585459817</v>
      </c>
      <c r="D80" s="76">
        <f>'6.Cons Profit &amp; Loss'!C51</f>
        <v>2418890.9564583106</v>
      </c>
      <c r="E80" s="76">
        <f>'6.Cons Profit &amp; Loss'!D51</f>
        <v>3210883.1275966158</v>
      </c>
      <c r="F80" s="76">
        <f>'6.Cons Profit &amp; Loss'!E51</f>
        <v>4101005.789736636</v>
      </c>
      <c r="G80" s="76">
        <f>'6.Cons Profit &amp; Loss'!F51</f>
        <v>4987699.2781944927</v>
      </c>
      <c r="H80" s="76">
        <f>'6.Cons Profit &amp; Loss'!G51</f>
        <v>5905665.0268290564</v>
      </c>
      <c r="I80" s="76">
        <f>'6.Cons Profit &amp; Loss'!H51</f>
        <v>6841616.3964410946</v>
      </c>
    </row>
    <row r="81" spans="2:10" ht="15.75" customHeight="1" x14ac:dyDescent="0.25">
      <c r="B81" s="74"/>
      <c r="C81" s="74"/>
      <c r="D81" s="74"/>
      <c r="E81" s="74"/>
      <c r="F81" s="74"/>
      <c r="G81" s="74"/>
      <c r="H81" s="74"/>
      <c r="I81" s="74"/>
    </row>
    <row r="82" spans="2:10" ht="15.75" customHeight="1" x14ac:dyDescent="0.25">
      <c r="B82" s="77" t="s">
        <v>469</v>
      </c>
      <c r="C82" s="389">
        <f>AVERAGE(C80:I80)</f>
        <v>4232188.5476860264</v>
      </c>
      <c r="D82" s="342"/>
      <c r="E82" s="342"/>
      <c r="F82" s="342"/>
      <c r="G82" s="342"/>
      <c r="H82" s="342"/>
      <c r="I82" s="343"/>
    </row>
    <row r="83" spans="2:10" ht="15.75" customHeight="1" x14ac:dyDescent="0.25">
      <c r="B83" s="77" t="s">
        <v>470</v>
      </c>
      <c r="C83" s="389">
        <f>'1.Project Cost and MOF'!D12</f>
        <v>23820447.18866438</v>
      </c>
      <c r="D83" s="342"/>
      <c r="E83" s="342"/>
      <c r="F83" s="342"/>
      <c r="G83" s="342"/>
      <c r="H83" s="342"/>
      <c r="I83" s="343"/>
    </row>
    <row r="84" spans="2:10" ht="15.75" customHeight="1" x14ac:dyDescent="0.25">
      <c r="B84" s="74"/>
      <c r="C84" s="74"/>
      <c r="D84" s="74"/>
      <c r="E84" s="74"/>
      <c r="F84" s="74"/>
      <c r="G84" s="74"/>
      <c r="H84" s="74"/>
      <c r="I84" s="74"/>
    </row>
    <row r="85" spans="2:10" ht="15.75" customHeight="1" x14ac:dyDescent="0.25">
      <c r="B85" s="220" t="s">
        <v>471</v>
      </c>
      <c r="C85" s="384">
        <f>C82/C83</f>
        <v>0.17767040703165432</v>
      </c>
      <c r="D85" s="342"/>
      <c r="E85" s="342"/>
      <c r="F85" s="342"/>
      <c r="G85" s="342"/>
      <c r="H85" s="342"/>
      <c r="I85" s="343"/>
    </row>
    <row r="86" spans="2:10" ht="15.75" customHeight="1" x14ac:dyDescent="0.25"/>
    <row r="87" spans="2:10" ht="15.75" customHeight="1" x14ac:dyDescent="0.25"/>
    <row r="88" spans="2:10" ht="15.75" customHeight="1" x14ac:dyDescent="0.25">
      <c r="B88" s="383" t="s">
        <v>472</v>
      </c>
      <c r="C88" s="338"/>
      <c r="D88" s="338"/>
      <c r="E88" s="338"/>
      <c r="F88" s="338"/>
      <c r="G88" s="338"/>
      <c r="H88" s="338"/>
      <c r="I88" s="338"/>
    </row>
    <row r="89" spans="2:10" ht="15.75" customHeight="1" x14ac:dyDescent="0.25"/>
    <row r="90" spans="2:10" ht="15.75" customHeight="1" x14ac:dyDescent="0.3">
      <c r="B90" s="354" t="s">
        <v>473</v>
      </c>
      <c r="C90" s="338"/>
      <c r="D90" s="338"/>
      <c r="E90" s="338"/>
      <c r="F90" s="338"/>
      <c r="G90" s="338"/>
      <c r="H90" s="338"/>
      <c r="I90" s="338"/>
      <c r="J90" s="338"/>
    </row>
    <row r="91" spans="2:10" ht="15.75" customHeight="1" x14ac:dyDescent="0.25"/>
    <row r="92" spans="2:10" ht="15.75" customHeight="1" x14ac:dyDescent="0.25">
      <c r="B92" s="210" t="s">
        <v>148</v>
      </c>
      <c r="C92" s="210" t="s">
        <v>436</v>
      </c>
      <c r="D92" s="210" t="s">
        <v>151</v>
      </c>
      <c r="E92" s="210" t="s">
        <v>152</v>
      </c>
      <c r="F92" s="210" t="s">
        <v>153</v>
      </c>
      <c r="G92" s="210" t="s">
        <v>154</v>
      </c>
      <c r="H92" s="210" t="s">
        <v>155</v>
      </c>
      <c r="I92" s="210" t="s">
        <v>156</v>
      </c>
      <c r="J92" s="210" t="s">
        <v>157</v>
      </c>
    </row>
    <row r="93" spans="2:10" ht="15.75" customHeight="1" x14ac:dyDescent="0.25">
      <c r="B93" s="221"/>
      <c r="C93" s="221"/>
      <c r="D93" s="222"/>
      <c r="E93" s="222"/>
      <c r="F93" s="222"/>
      <c r="G93" s="222"/>
      <c r="H93" s="222"/>
      <c r="I93" s="222"/>
      <c r="J93" s="222"/>
    </row>
    <row r="94" spans="2:10" ht="15.75" customHeight="1" x14ac:dyDescent="0.25">
      <c r="B94" s="134" t="s">
        <v>474</v>
      </c>
      <c r="C94" s="223">
        <f>'1.Project Cost and MOF'!D12</f>
        <v>23820447.18866438</v>
      </c>
      <c r="D94" s="222"/>
      <c r="E94" s="222"/>
      <c r="F94" s="222"/>
      <c r="G94" s="222"/>
      <c r="H94" s="222"/>
      <c r="I94" s="222"/>
      <c r="J94" s="222"/>
    </row>
    <row r="95" spans="2:10" ht="15.75" customHeight="1" x14ac:dyDescent="0.25">
      <c r="B95" s="134" t="str">
        <f>B58</f>
        <v>Profit after Tax &amp; Dividend</v>
      </c>
      <c r="C95" s="134"/>
      <c r="D95" s="224">
        <f>'6.Cons Profit &amp; Loss'!B51</f>
        <v>2159559.2585459817</v>
      </c>
      <c r="E95" s="224">
        <f>'6.Cons Profit &amp; Loss'!C51</f>
        <v>2418890.9564583106</v>
      </c>
      <c r="F95" s="224">
        <f>'6.Cons Profit &amp; Loss'!D51</f>
        <v>3210883.1275966158</v>
      </c>
      <c r="G95" s="224">
        <f>'6.Cons Profit &amp; Loss'!E51</f>
        <v>4101005.789736636</v>
      </c>
      <c r="H95" s="224">
        <f>'6.Cons Profit &amp; Loss'!F51</f>
        <v>4987699.2781944927</v>
      </c>
      <c r="I95" s="224">
        <f>'6.Cons Profit &amp; Loss'!G51</f>
        <v>5905665.0268290564</v>
      </c>
      <c r="J95" s="224">
        <f>'6.Cons Profit &amp; Loss'!H51</f>
        <v>6841616.3964410946</v>
      </c>
    </row>
    <row r="96" spans="2:10" ht="15.75" customHeight="1" x14ac:dyDescent="0.25">
      <c r="B96" s="134" t="str">
        <f t="shared" ref="B96:B97" si="10">B60</f>
        <v>Add: Deprication</v>
      </c>
      <c r="C96" s="134"/>
      <c r="D96" s="224">
        <f>'6.Cons Profit &amp; Loss'!B42</f>
        <v>1186617.0737640001</v>
      </c>
      <c r="E96" s="224">
        <f>'6.Cons Profit &amp; Loss'!C42</f>
        <v>1186617.0737640001</v>
      </c>
      <c r="F96" s="224">
        <f>'6.Cons Profit &amp; Loss'!D42</f>
        <v>1186617.0737640001</v>
      </c>
      <c r="G96" s="224">
        <f>'6.Cons Profit &amp; Loss'!E42</f>
        <v>1186617.0737640001</v>
      </c>
      <c r="H96" s="224">
        <f>'6.Cons Profit &amp; Loss'!F42</f>
        <v>1186617.0737640001</v>
      </c>
      <c r="I96" s="224">
        <f>'6.Cons Profit &amp; Loss'!G42</f>
        <v>1186617.0737640001</v>
      </c>
      <c r="J96" s="224">
        <f>'6.Cons Profit &amp; Loss'!H42</f>
        <v>1186617.0737640001</v>
      </c>
    </row>
    <row r="97" spans="2:10" ht="15.75" customHeight="1" x14ac:dyDescent="0.25">
      <c r="B97" s="134" t="str">
        <f t="shared" si="10"/>
        <v>Add. Preliminary exp Written off</v>
      </c>
      <c r="C97" s="134"/>
      <c r="D97" s="224">
        <f>'6.Cons Profit &amp; Loss'!B43</f>
        <v>90000</v>
      </c>
      <c r="E97" s="224">
        <f>'6.Cons Profit &amp; Loss'!C43</f>
        <v>90000</v>
      </c>
      <c r="F97" s="224">
        <f>'6.Cons Profit &amp; Loss'!D43</f>
        <v>90000</v>
      </c>
      <c r="G97" s="224">
        <f>'6.Cons Profit &amp; Loss'!E43</f>
        <v>90000</v>
      </c>
      <c r="H97" s="224">
        <f>'6.Cons Profit &amp; Loss'!F43</f>
        <v>90000</v>
      </c>
      <c r="I97" s="224">
        <f>'6.Cons Profit &amp; Loss'!G43</f>
        <v>0</v>
      </c>
      <c r="J97" s="224">
        <f>'6.Cons Profit &amp; Loss'!H43</f>
        <v>0</v>
      </c>
    </row>
    <row r="98" spans="2:10" ht="15.75" customHeight="1" x14ac:dyDescent="0.25">
      <c r="B98" s="134" t="str">
        <f>B63</f>
        <v xml:space="preserve">Net Cash Accrual (A)      </v>
      </c>
      <c r="C98" s="134"/>
      <c r="D98" s="224">
        <f t="shared" ref="D98:J98" si="11">SUM(D95:D97)</f>
        <v>3436176.3323099818</v>
      </c>
      <c r="E98" s="224">
        <f t="shared" si="11"/>
        <v>3695508.0302223107</v>
      </c>
      <c r="F98" s="224">
        <f t="shared" si="11"/>
        <v>4487500.2013606159</v>
      </c>
      <c r="G98" s="224">
        <f t="shared" si="11"/>
        <v>5377622.8635006361</v>
      </c>
      <c r="H98" s="224">
        <f t="shared" si="11"/>
        <v>6264316.3519584928</v>
      </c>
      <c r="I98" s="224">
        <f t="shared" si="11"/>
        <v>7092282.1005930565</v>
      </c>
      <c r="J98" s="224">
        <f t="shared" si="11"/>
        <v>8028233.4702050947</v>
      </c>
    </row>
    <row r="99" spans="2:10" ht="15.75" customHeight="1" x14ac:dyDescent="0.25">
      <c r="B99" s="134" t="s">
        <v>475</v>
      </c>
      <c r="C99" s="225"/>
      <c r="D99" s="226">
        <f>D98-C94</f>
        <v>-20384270.856354401</v>
      </c>
      <c r="E99" s="226">
        <f t="shared" ref="E99:H99" si="12">D99+E98</f>
        <v>-16688762.826132089</v>
      </c>
      <c r="F99" s="226">
        <f t="shared" si="12"/>
        <v>-12201262.624771472</v>
      </c>
      <c r="G99" s="226">
        <f t="shared" si="12"/>
        <v>-6823639.761270836</v>
      </c>
      <c r="H99" s="226">
        <f t="shared" si="12"/>
        <v>-559323.40931234322</v>
      </c>
      <c r="I99" s="227"/>
      <c r="J99" s="227"/>
    </row>
    <row r="100" spans="2:10" ht="15.75" customHeight="1" x14ac:dyDescent="0.25">
      <c r="B100" s="79"/>
      <c r="C100" s="79"/>
      <c r="D100" s="79"/>
      <c r="E100" s="79"/>
      <c r="F100" s="79"/>
      <c r="G100" s="79"/>
      <c r="H100" s="79"/>
      <c r="I100" s="79"/>
      <c r="J100" s="79"/>
    </row>
    <row r="101" spans="2:10" ht="15.75" customHeight="1" x14ac:dyDescent="0.25">
      <c r="B101" s="158" t="s">
        <v>476</v>
      </c>
      <c r="C101" s="79"/>
      <c r="D101" s="228">
        <f>4+(-G99/H98)</f>
        <v>5.0892872227210351</v>
      </c>
      <c r="E101" s="79"/>
      <c r="F101" s="79"/>
      <c r="G101" s="79"/>
      <c r="H101" s="79"/>
      <c r="I101" s="79"/>
      <c r="J101" s="79"/>
    </row>
    <row r="102" spans="2:10" ht="15.75" customHeight="1" x14ac:dyDescent="0.25">
      <c r="B102" s="79"/>
      <c r="C102" s="79"/>
      <c r="D102" s="79"/>
      <c r="E102" s="79"/>
      <c r="F102" s="79"/>
      <c r="G102" s="79"/>
      <c r="H102" s="79"/>
      <c r="I102" s="79"/>
      <c r="J102" s="79"/>
    </row>
    <row r="103" spans="2:10" ht="15.75" customHeight="1" x14ac:dyDescent="0.25">
      <c r="B103" s="383" t="s">
        <v>477</v>
      </c>
      <c r="C103" s="338"/>
      <c r="D103" s="338"/>
      <c r="E103" s="338"/>
      <c r="F103" s="338"/>
      <c r="G103" s="338"/>
      <c r="H103" s="338"/>
      <c r="I103" s="338"/>
      <c r="J103" s="338"/>
    </row>
    <row r="104" spans="2:10" ht="15.75" customHeight="1" x14ac:dyDescent="0.25"/>
    <row r="105" spans="2:10" ht="15.75" customHeight="1" x14ac:dyDescent="0.3">
      <c r="B105" s="354" t="s">
        <v>478</v>
      </c>
      <c r="C105" s="338"/>
      <c r="D105" s="338"/>
      <c r="E105" s="338"/>
      <c r="F105" s="338"/>
      <c r="G105" s="338"/>
      <c r="H105" s="338"/>
      <c r="I105" s="338"/>
    </row>
    <row r="106" spans="2:10" ht="15.75" customHeight="1" x14ac:dyDescent="0.25"/>
    <row r="107" spans="2:10" ht="15.75" customHeight="1" x14ac:dyDescent="0.25">
      <c r="B107" s="217" t="s">
        <v>148</v>
      </c>
      <c r="C107" s="217" t="s">
        <v>151</v>
      </c>
      <c r="D107" s="217" t="s">
        <v>152</v>
      </c>
      <c r="E107" s="217" t="s">
        <v>153</v>
      </c>
      <c r="F107" s="217" t="s">
        <v>154</v>
      </c>
      <c r="G107" s="217" t="s">
        <v>155</v>
      </c>
      <c r="H107" s="217" t="s">
        <v>156</v>
      </c>
      <c r="I107" s="217" t="s">
        <v>157</v>
      </c>
    </row>
    <row r="108" spans="2:10" ht="15.75" customHeight="1" x14ac:dyDescent="0.25">
      <c r="B108" s="218"/>
      <c r="C108" s="219"/>
      <c r="D108" s="219"/>
      <c r="E108" s="219"/>
      <c r="F108" s="219"/>
      <c r="G108" s="219"/>
      <c r="H108" s="219"/>
      <c r="I108" s="219"/>
    </row>
    <row r="109" spans="2:10" ht="15.75" customHeight="1" x14ac:dyDescent="0.25">
      <c r="B109" s="74" t="s">
        <v>479</v>
      </c>
      <c r="C109" s="76">
        <f>+'6.Cons Profit &amp; Loss'!B49</f>
        <v>2274003.8697359757</v>
      </c>
      <c r="D109" s="76">
        <f>+'6.Cons Profit &amp; Loss'!C49</f>
        <v>2772282.4724796629</v>
      </c>
      <c r="E109" s="76">
        <f>+'6.Cons Profit &amp; Loss'!D49</f>
        <v>3968055.5842885892</v>
      </c>
      <c r="F109" s="76">
        <f>+'6.Cons Profit &amp; Loss'!E49</f>
        <v>5277993.4804105824</v>
      </c>
      <c r="G109" s="76">
        <f>+'6.Cons Profit &amp; Loss'!F49</f>
        <v>6567888.3706762223</v>
      </c>
      <c r="H109" s="76">
        <f>+'6.Cons Profit &amp; Loss'!G49</f>
        <v>7887064.312619159</v>
      </c>
      <c r="I109" s="76">
        <f>+'6.Cons Profit &amp; Loss'!H49</f>
        <v>9219546.5851452891</v>
      </c>
    </row>
    <row r="110" spans="2:10" ht="15.75" customHeight="1" x14ac:dyDescent="0.25">
      <c r="B110" s="74" t="s">
        <v>480</v>
      </c>
      <c r="C110" s="76">
        <f>'6.Cons Profit &amp; Loss'!B42</f>
        <v>1186617.0737640001</v>
      </c>
      <c r="D110" s="76">
        <f>'6.Cons Profit &amp; Loss'!C42</f>
        <v>1186617.0737640001</v>
      </c>
      <c r="E110" s="76">
        <f>'6.Cons Profit &amp; Loss'!D42</f>
        <v>1186617.0737640001</v>
      </c>
      <c r="F110" s="76">
        <f>'6.Cons Profit &amp; Loss'!E42</f>
        <v>1186617.0737640001</v>
      </c>
      <c r="G110" s="76">
        <f>'6.Cons Profit &amp; Loss'!F42</f>
        <v>1186617.0737640001</v>
      </c>
      <c r="H110" s="76">
        <f>'6.Cons Profit &amp; Loss'!G42</f>
        <v>1186617.0737640001</v>
      </c>
      <c r="I110" s="76">
        <f>'6.Cons Profit &amp; Loss'!H42</f>
        <v>1186617.0737640001</v>
      </c>
    </row>
    <row r="111" spans="2:10" ht="15.75" customHeight="1" x14ac:dyDescent="0.25">
      <c r="B111" s="74" t="s">
        <v>481</v>
      </c>
      <c r="C111" s="76">
        <f>'6.Cons Profit &amp; Loss'!B43</f>
        <v>90000</v>
      </c>
      <c r="D111" s="76">
        <f>'6.Cons Profit &amp; Loss'!C43</f>
        <v>90000</v>
      </c>
      <c r="E111" s="76">
        <f>'6.Cons Profit &amp; Loss'!D43</f>
        <v>90000</v>
      </c>
      <c r="F111" s="76">
        <f>'6.Cons Profit &amp; Loss'!E43</f>
        <v>90000</v>
      </c>
      <c r="G111" s="76">
        <f>'6.Cons Profit &amp; Loss'!F43</f>
        <v>90000</v>
      </c>
      <c r="H111" s="76">
        <f>'6.Cons Profit &amp; Loss'!G43</f>
        <v>0</v>
      </c>
      <c r="I111" s="76">
        <f>'6.Cons Profit &amp; Loss'!H43</f>
        <v>0</v>
      </c>
    </row>
    <row r="112" spans="2:10" ht="15.75" customHeight="1" x14ac:dyDescent="0.25">
      <c r="B112" s="74" t="s">
        <v>482</v>
      </c>
      <c r="C112" s="76">
        <f>'8.Cash Flow '!C26</f>
        <v>872341.41238084517</v>
      </c>
      <c r="D112" s="76">
        <f>'8.Cash Flow '!D26</f>
        <v>661795.03677431645</v>
      </c>
      <c r="E112" s="76">
        <f>'8.Cash Flow '!E26</f>
        <v>424546.11073731253</v>
      </c>
      <c r="F112" s="76">
        <f>'8.Cash Flow '!F26</f>
        <v>157208.08250688826</v>
      </c>
      <c r="G112" s="76">
        <f>'8.Cash Flow '!G26</f>
        <v>-8.1204071841881763E-11</v>
      </c>
      <c r="H112" s="76">
        <f>'8.Cash Flow '!H26</f>
        <v>-9.1502780700067053E-11</v>
      </c>
      <c r="I112" s="76">
        <f>'8.Cash Flow '!I26</f>
        <v>-1.0310762361951206E-10</v>
      </c>
    </row>
    <row r="113" spans="2:18" ht="15.75" customHeight="1" x14ac:dyDescent="0.25">
      <c r="B113" s="77" t="s">
        <v>88</v>
      </c>
      <c r="C113" s="78">
        <f t="shared" ref="C113:I113" si="13">SUM(C109:C112)</f>
        <v>4422962.3558808211</v>
      </c>
      <c r="D113" s="78">
        <f t="shared" si="13"/>
        <v>4710694.5830179797</v>
      </c>
      <c r="E113" s="78">
        <f t="shared" si="13"/>
        <v>5669218.7687899023</v>
      </c>
      <c r="F113" s="78">
        <f t="shared" si="13"/>
        <v>6711818.636681471</v>
      </c>
      <c r="G113" s="78">
        <f t="shared" si="13"/>
        <v>7844505.4444402223</v>
      </c>
      <c r="H113" s="78">
        <f t="shared" si="13"/>
        <v>9073681.3863831591</v>
      </c>
      <c r="I113" s="78">
        <f t="shared" si="13"/>
        <v>10406163.658909289</v>
      </c>
    </row>
    <row r="114" spans="2:18" ht="15.75" customHeight="1" x14ac:dyDescent="0.25">
      <c r="B114" s="74"/>
      <c r="C114" s="74"/>
      <c r="D114" s="74"/>
      <c r="E114" s="74"/>
      <c r="F114" s="74"/>
      <c r="G114" s="74"/>
      <c r="H114" s="74"/>
      <c r="I114" s="74"/>
    </row>
    <row r="115" spans="2:18" ht="15.75" customHeight="1" x14ac:dyDescent="0.25">
      <c r="B115" s="74" t="s">
        <v>483</v>
      </c>
      <c r="C115" s="78">
        <f>'8.Cash Flow '!C25+'8.Cash Flow '!C26</f>
        <v>2532474.0800998402</v>
      </c>
      <c r="D115" s="78">
        <f>'8.Cash Flow '!D25+'8.Cash Flow '!D26</f>
        <v>2532474.0800998402</v>
      </c>
      <c r="E115" s="78">
        <f>'8.Cash Flow '!E25+'8.Cash Flow '!E26</f>
        <v>2532474.0800998402</v>
      </c>
      <c r="F115" s="78">
        <f>'8.Cash Flow '!F25+'8.Cash Flow '!F26</f>
        <v>2532474.0800998402</v>
      </c>
      <c r="G115" s="78">
        <f>'8.Cash Flow '!G25+'8.Cash Flow '!G26</f>
        <v>0</v>
      </c>
      <c r="H115" s="78">
        <f>'8.Cash Flow '!H25+'8.Cash Flow '!H26</f>
        <v>0</v>
      </c>
      <c r="I115" s="78">
        <f>'8.Cash Flow '!I25+'8.Cash Flow '!I26</f>
        <v>0</v>
      </c>
    </row>
    <row r="116" spans="2:18" ht="15.75" customHeight="1" x14ac:dyDescent="0.25">
      <c r="B116" s="74"/>
      <c r="C116" s="74"/>
      <c r="D116" s="74"/>
      <c r="E116" s="74"/>
      <c r="F116" s="74"/>
      <c r="G116" s="74"/>
      <c r="H116" s="74"/>
      <c r="I116" s="74"/>
    </row>
    <row r="117" spans="2:18" ht="15.75" customHeight="1" x14ac:dyDescent="0.25">
      <c r="B117" s="77" t="s">
        <v>484</v>
      </c>
      <c r="C117" s="229">
        <f t="shared" ref="C117:I117" si="14">C113/C115</f>
        <v>1.746498568588094</v>
      </c>
      <c r="D117" s="229">
        <f t="shared" si="14"/>
        <v>1.8601156158061312</v>
      </c>
      <c r="E117" s="229">
        <f t="shared" si="14"/>
        <v>2.2386088028851212</v>
      </c>
      <c r="F117" s="229">
        <f t="shared" si="14"/>
        <v>2.650301019632495</v>
      </c>
      <c r="G117" s="229" t="e">
        <f t="shared" si="14"/>
        <v>#DIV/0!</v>
      </c>
      <c r="H117" s="229" t="e">
        <f t="shared" si="14"/>
        <v>#DIV/0!</v>
      </c>
      <c r="I117" s="229" t="e">
        <f t="shared" si="14"/>
        <v>#DIV/0!</v>
      </c>
    </row>
    <row r="118" spans="2:18" ht="15.75" customHeight="1" x14ac:dyDescent="0.25">
      <c r="B118" s="69"/>
      <c r="C118" s="69"/>
      <c r="D118" s="69"/>
      <c r="E118" s="69"/>
      <c r="F118" s="69"/>
      <c r="G118" s="69"/>
      <c r="H118" s="69"/>
      <c r="I118" s="69"/>
    </row>
    <row r="119" spans="2:18" ht="15.75" customHeight="1" x14ac:dyDescent="0.25">
      <c r="B119" s="69" t="s">
        <v>485</v>
      </c>
      <c r="C119" s="122">
        <f>AVERAGE(C117:F117)</f>
        <v>2.1238810017279603</v>
      </c>
      <c r="D119" s="69"/>
      <c r="E119" s="69"/>
      <c r="F119" s="69"/>
      <c r="G119" s="69"/>
      <c r="H119" s="69"/>
      <c r="I119" s="69"/>
    </row>
    <row r="120" spans="2:18" ht="15.75" customHeight="1" x14ac:dyDescent="0.25"/>
    <row r="121" spans="2:18" ht="29.25" customHeight="1" x14ac:dyDescent="0.25">
      <c r="B121" s="359" t="s">
        <v>486</v>
      </c>
      <c r="C121" s="338"/>
      <c r="D121" s="338"/>
      <c r="E121" s="338"/>
      <c r="F121" s="338"/>
      <c r="G121" s="338"/>
      <c r="H121" s="338"/>
      <c r="I121" s="338"/>
      <c r="J121" s="338"/>
    </row>
    <row r="122" spans="2:18" ht="15.75" customHeight="1" x14ac:dyDescent="0.25"/>
    <row r="123" spans="2:18" ht="15.75" customHeight="1" x14ac:dyDescent="0.35">
      <c r="B123" s="388" t="s">
        <v>487</v>
      </c>
      <c r="C123" s="340"/>
      <c r="D123" s="340"/>
      <c r="E123" s="340"/>
      <c r="F123" s="340"/>
      <c r="G123" s="340"/>
      <c r="H123" s="340"/>
      <c r="I123" s="340"/>
      <c r="K123" s="381"/>
      <c r="L123" s="338"/>
      <c r="M123" s="338"/>
      <c r="N123" s="338"/>
      <c r="O123" s="338"/>
      <c r="P123" s="338"/>
      <c r="Q123" s="338"/>
      <c r="R123" s="338"/>
    </row>
    <row r="124" spans="2:18" ht="15.75" customHeight="1" x14ac:dyDescent="0.25">
      <c r="B124" s="124" t="s">
        <v>488</v>
      </c>
      <c r="C124" s="125" t="s">
        <v>151</v>
      </c>
      <c r="D124" s="125" t="s">
        <v>152</v>
      </c>
      <c r="E124" s="125" t="s">
        <v>153</v>
      </c>
      <c r="F124" s="125" t="s">
        <v>154</v>
      </c>
      <c r="G124" s="125" t="s">
        <v>155</v>
      </c>
      <c r="H124" s="125" t="s">
        <v>156</v>
      </c>
      <c r="I124" s="125" t="s">
        <v>157</v>
      </c>
    </row>
    <row r="125" spans="2:18" ht="15.75" customHeight="1" x14ac:dyDescent="0.25">
      <c r="B125" s="74" t="str">
        <f>'6.Cons Profit &amp; Loss'!A8</f>
        <v>Faclitiy 1 - Cleaning &amp; Grading</v>
      </c>
      <c r="C125" s="76">
        <f>'6.Cons Profit &amp; Loss'!B8*(1+$M$126)</f>
        <v>4292730.75</v>
      </c>
      <c r="D125" s="76">
        <f>'6.Cons Profit &amp; Loss'!C8*(1+$M$126)</f>
        <v>5870017.3218749994</v>
      </c>
      <c r="E125" s="76">
        <f>'6.Cons Profit &amp; Loss'!D8*(1+$M$126)</f>
        <v>7408601.756718751</v>
      </c>
      <c r="F125" s="76">
        <f>'6.Cons Profit &amp; Loss'!E8*(1+$M$126)</f>
        <v>9086369.5917421877</v>
      </c>
      <c r="G125" s="76">
        <f>'6.Cons Profit &amp; Loss'!F8*(1+$M$126)</f>
        <v>10913392.705876172</v>
      </c>
      <c r="H125" s="76">
        <f>'6.Cons Profit &amp; Loss'!G8*(1+$M$126)</f>
        <v>12900402.2074442</v>
      </c>
      <c r="I125" s="76">
        <f>'6.Cons Profit &amp; Loss'!H8*(1+$M$126)</f>
        <v>15058829.177404344</v>
      </c>
    </row>
    <row r="126" spans="2:18" ht="15.75" customHeight="1" x14ac:dyDescent="0.25">
      <c r="B126" s="74" t="str">
        <f>'6.Cons Profit &amp; Loss'!A9</f>
        <v>Faclitiy 2 - Processing Unit- TURMERIC PLANT</v>
      </c>
      <c r="C126" s="76">
        <f>'6.Cons Profit &amp; Loss'!B9*(1+$M$126)</f>
        <v>28942554.375</v>
      </c>
      <c r="D126" s="76">
        <f>'6.Cons Profit &amp; Loss'!C9*(1+$M$126)</f>
        <v>33428650.303125001</v>
      </c>
      <c r="E126" s="76">
        <f>'6.Cons Profit &amp; Loss'!D9*(1+$M$126)</f>
        <v>38290999.438125014</v>
      </c>
      <c r="F126" s="76">
        <f>'6.Cons Profit &amp; Loss'!E9*(1+$M$126)</f>
        <v>43556011.860867202</v>
      </c>
      <c r="G126" s="76">
        <f>'6.Cons Profit &amp; Loss'!F9*(1+$M$126)</f>
        <v>49251798.027288303</v>
      </c>
      <c r="H126" s="76">
        <f>'6.Cons Profit &amp; Loss'!G9*(1+$M$126)</f>
        <v>55408272.780699342</v>
      </c>
      <c r="I126" s="76">
        <f>'6.Cons Profit &amp; Loss'!H9*(1+$M$126)</f>
        <v>62057265.514383294</v>
      </c>
      <c r="L126" s="158" t="s">
        <v>489</v>
      </c>
      <c r="M126" s="230">
        <v>0.05</v>
      </c>
    </row>
    <row r="127" spans="2:18" ht="15.75" customHeight="1" x14ac:dyDescent="0.25">
      <c r="B127" s="74" t="str">
        <f>'6.Cons Profit &amp; Loss'!A10</f>
        <v>Faclitiy 3 - Warehouse</v>
      </c>
      <c r="C127" s="76">
        <f>'6.Cons Profit &amp; Loss'!B10*(1+$M$126)</f>
        <v>0</v>
      </c>
      <c r="D127" s="76">
        <f>'6.Cons Profit &amp; Loss'!C10*(1+$M$126)</f>
        <v>0</v>
      </c>
      <c r="E127" s="76">
        <f>'6.Cons Profit &amp; Loss'!D10*(1+$M$126)</f>
        <v>0</v>
      </c>
      <c r="F127" s="76">
        <f>'6.Cons Profit &amp; Loss'!E10*(1+$M$126)</f>
        <v>0</v>
      </c>
      <c r="G127" s="76">
        <f>'6.Cons Profit &amp; Loss'!F10*(1+$M$126)</f>
        <v>0</v>
      </c>
      <c r="H127" s="76">
        <f>'6.Cons Profit &amp; Loss'!G10*(1+$M$126)</f>
        <v>0</v>
      </c>
      <c r="I127" s="76">
        <f>'6.Cons Profit &amp; Loss'!H10*(1+$M$126)</f>
        <v>0</v>
      </c>
      <c r="L127" s="158" t="s">
        <v>490</v>
      </c>
      <c r="M127" s="230">
        <v>0.05</v>
      </c>
    </row>
    <row r="128" spans="2:18" ht="15.75" customHeight="1" x14ac:dyDescent="0.25">
      <c r="B128" s="74" t="str">
        <f>'6.Cons Profit &amp; Loss'!A11</f>
        <v xml:space="preserve">Faclitiy 4 - Custom Hiring </v>
      </c>
      <c r="C128" s="76">
        <f>'6.Cons Profit &amp; Loss'!B11*(1+$M$126)</f>
        <v>0</v>
      </c>
      <c r="D128" s="76">
        <f>'6.Cons Profit &amp; Loss'!C11*(1+$M$126)</f>
        <v>0</v>
      </c>
      <c r="E128" s="76">
        <f>'6.Cons Profit &amp; Loss'!D11*(1+$M$126)</f>
        <v>0</v>
      </c>
      <c r="F128" s="76">
        <f>'6.Cons Profit &amp; Loss'!E11*(1+$M$126)</f>
        <v>0</v>
      </c>
      <c r="G128" s="76">
        <f>'6.Cons Profit &amp; Loss'!F11*(1+$M$126)</f>
        <v>0</v>
      </c>
      <c r="H128" s="76">
        <f>'6.Cons Profit &amp; Loss'!G11*(1+$M$126)</f>
        <v>0</v>
      </c>
      <c r="I128" s="76">
        <f>'6.Cons Profit &amp; Loss'!H11*(1+$M$126)</f>
        <v>0</v>
      </c>
    </row>
    <row r="129" spans="2:9" ht="15.75" customHeight="1" x14ac:dyDescent="0.25">
      <c r="B129" s="74" t="str">
        <f>'6.Cons Profit &amp; Loss'!A12</f>
        <v>Faclitiy 5 - Agri Input Centre</v>
      </c>
      <c r="C129" s="76">
        <f>'6.Cons Profit &amp; Loss'!B12*(1+$M$126)</f>
        <v>4398975</v>
      </c>
      <c r="D129" s="76">
        <f>'6.Cons Profit &amp; Loss'!C12*(1+$M$126)</f>
        <v>6016755.9375</v>
      </c>
      <c r="E129" s="76">
        <f>'6.Cons Profit &amp; Loss'!D12*(1+$M$126)</f>
        <v>7593875.296875</v>
      </c>
      <c r="F129" s="76">
        <f>'6.Cons Profit &amp; Loss'!E12*(1+$M$126)</f>
        <v>9313664.7023437526</v>
      </c>
      <c r="G129" s="76">
        <f>'6.Cons Profit &amp; Loss'!F12*(1+$M$126)</f>
        <v>11186448.360117191</v>
      </c>
      <c r="H129" s="76">
        <f>'6.Cons Profit &amp; Loss'!G12*(1+$M$126)</f>
        <v>13223226.221912114</v>
      </c>
      <c r="I129" s="76">
        <f>'6.Cons Profit &amp; Loss'!H12*(1+$M$126)</f>
        <v>15435715.748986237</v>
      </c>
    </row>
    <row r="130" spans="2:9" ht="15.75" customHeight="1" x14ac:dyDescent="0.25">
      <c r="B130" s="74" t="str">
        <f>'6.Cons Profit &amp; Loss'!A13</f>
        <v>Facility 6 - Processing Unit - Horti Commodity</v>
      </c>
      <c r="C130" s="76">
        <f>'6.Cons Profit &amp; Loss'!B13*(1+$M$126)</f>
        <v>0</v>
      </c>
      <c r="D130" s="76">
        <f>'6.Cons Profit &amp; Loss'!C13*(1+$M$126)</f>
        <v>0</v>
      </c>
      <c r="E130" s="76">
        <f>'6.Cons Profit &amp; Loss'!D13*(1+$M$126)</f>
        <v>0</v>
      </c>
      <c r="F130" s="76">
        <f>'6.Cons Profit &amp; Loss'!E13*(1+$M$126)</f>
        <v>0</v>
      </c>
      <c r="G130" s="76">
        <f>'6.Cons Profit &amp; Loss'!F13*(1+$M$126)</f>
        <v>0</v>
      </c>
      <c r="H130" s="76">
        <f>'6.Cons Profit &amp; Loss'!G13*(1+$M$126)</f>
        <v>0</v>
      </c>
      <c r="I130" s="76">
        <f>'6.Cons Profit &amp; Loss'!H13*(1+$M$126)</f>
        <v>0</v>
      </c>
    </row>
    <row r="131" spans="2:9" ht="15.75" customHeight="1" x14ac:dyDescent="0.25">
      <c r="B131" s="74">
        <f>'6.Cons Profit &amp; Loss'!A14</f>
        <v>0</v>
      </c>
      <c r="C131" s="76">
        <f>'6.Cons Profit &amp; Loss'!B14*(1+$M$126)</f>
        <v>0</v>
      </c>
      <c r="D131" s="76">
        <f>'6.Cons Profit &amp; Loss'!C14*(1+$M$126)</f>
        <v>0</v>
      </c>
      <c r="E131" s="76">
        <f>'6.Cons Profit &amp; Loss'!D14*(1+$M$126)</f>
        <v>0</v>
      </c>
      <c r="F131" s="76">
        <f>'6.Cons Profit &amp; Loss'!E14*(1+$M$126)</f>
        <v>0</v>
      </c>
      <c r="G131" s="76">
        <f>'6.Cons Profit &amp; Loss'!F14*(1+$M$126)</f>
        <v>0</v>
      </c>
      <c r="H131" s="76">
        <f>'6.Cons Profit &amp; Loss'!G14*(1+$M$126)</f>
        <v>0</v>
      </c>
      <c r="I131" s="76">
        <f>'6.Cons Profit &amp; Loss'!H14*(1+$M$126)</f>
        <v>0</v>
      </c>
    </row>
    <row r="132" spans="2:9" ht="15.75" customHeight="1" x14ac:dyDescent="0.25">
      <c r="B132" s="74" t="s">
        <v>491</v>
      </c>
      <c r="C132" s="76">
        <f t="shared" ref="C132:I132" si="15">SUM(C125:C131)</f>
        <v>37634260.125</v>
      </c>
      <c r="D132" s="76">
        <f t="shared" si="15"/>
        <v>45315423.5625</v>
      </c>
      <c r="E132" s="76">
        <f t="shared" si="15"/>
        <v>53293476.491718769</v>
      </c>
      <c r="F132" s="76">
        <f t="shared" si="15"/>
        <v>61956046.154953144</v>
      </c>
      <c r="G132" s="76">
        <f t="shared" si="15"/>
        <v>71351639.093281671</v>
      </c>
      <c r="H132" s="76">
        <f t="shared" si="15"/>
        <v>81531901.210055664</v>
      </c>
      <c r="I132" s="76">
        <f t="shared" si="15"/>
        <v>92551810.440773875</v>
      </c>
    </row>
    <row r="133" spans="2:9" ht="15.75" customHeight="1" x14ac:dyDescent="0.25">
      <c r="B133" s="74" t="s">
        <v>492</v>
      </c>
      <c r="C133" s="76"/>
      <c r="D133" s="76"/>
      <c r="E133" s="76"/>
      <c r="F133" s="76"/>
      <c r="G133" s="76"/>
      <c r="H133" s="76"/>
      <c r="I133" s="76"/>
    </row>
    <row r="134" spans="2:9" ht="15.75" customHeight="1" x14ac:dyDescent="0.25">
      <c r="B134" s="74" t="s">
        <v>493</v>
      </c>
      <c r="C134" s="76">
        <f>'6.Cons Profit &amp; Loss'!B36</f>
        <v>2391000</v>
      </c>
      <c r="D134" s="76">
        <f>'6.Cons Profit &amp; Loss'!C36</f>
        <v>2510550</v>
      </c>
      <c r="E134" s="76">
        <f>'6.Cons Profit &amp; Loss'!D36</f>
        <v>2636077.5</v>
      </c>
      <c r="F134" s="76">
        <f>'6.Cons Profit &amp; Loss'!E36</f>
        <v>2767881.3750000005</v>
      </c>
      <c r="G134" s="76">
        <f>'6.Cons Profit &amp; Loss'!F36</f>
        <v>2906275.4437500006</v>
      </c>
      <c r="H134" s="76">
        <f>'6.Cons Profit &amp; Loss'!G36</f>
        <v>3051589.2159375008</v>
      </c>
      <c r="I134" s="76">
        <f>'6.Cons Profit &amp; Loss'!H36</f>
        <v>3204168.6767343758</v>
      </c>
    </row>
    <row r="135" spans="2:9" ht="15.75" customHeight="1" x14ac:dyDescent="0.25">
      <c r="B135" s="74" t="s">
        <v>355</v>
      </c>
      <c r="C135" s="76">
        <f>'6.Cons Profit &amp; Loss'!B25*(1+M126)</f>
        <v>30300696.746250004</v>
      </c>
      <c r="D135" s="76">
        <f>'6.Cons Profit &amp; Loss'!C25*(1+N126)</f>
        <v>35663655.8359375</v>
      </c>
      <c r="E135" s="76">
        <f>'6.Cons Profit &amp; Loss'!D25*(1+O126)</f>
        <v>42127769.965968758</v>
      </c>
      <c r="F135" s="76">
        <f>'6.Cons Profit &amp; Loss'!E25*(1+P126)</f>
        <v>49149136.369413294</v>
      </c>
      <c r="G135" s="76">
        <f>'6.Cons Profit &amp; Loss'!F25*(1+Q126)</f>
        <v>56767319.988287352</v>
      </c>
      <c r="H135" s="76">
        <f>'6.Cons Profit &amp; Loss'!G25*(1+R126)</f>
        <v>65024449.128125295</v>
      </c>
      <c r="I135" s="76">
        <f>'6.Cons Profit &amp; Loss'!H25*(1+S126)</f>
        <v>73965372.881976321</v>
      </c>
    </row>
    <row r="136" spans="2:9" ht="15.75" customHeight="1" x14ac:dyDescent="0.25">
      <c r="B136" s="74" t="s">
        <v>494</v>
      </c>
      <c r="C136" s="76">
        <f t="shared" ref="C136:I136" si="16">SUM(C134:C135)</f>
        <v>32691696.746250004</v>
      </c>
      <c r="D136" s="76">
        <f t="shared" si="16"/>
        <v>38174205.8359375</v>
      </c>
      <c r="E136" s="76">
        <f t="shared" si="16"/>
        <v>44763847.465968758</v>
      </c>
      <c r="F136" s="76">
        <f t="shared" si="16"/>
        <v>51917017.744413294</v>
      </c>
      <c r="G136" s="76">
        <f t="shared" si="16"/>
        <v>59673595.432037354</v>
      </c>
      <c r="H136" s="76">
        <f t="shared" si="16"/>
        <v>68076038.34406279</v>
      </c>
      <c r="I136" s="76">
        <f t="shared" si="16"/>
        <v>77169541.558710694</v>
      </c>
    </row>
    <row r="137" spans="2:9" ht="15.75" customHeight="1" x14ac:dyDescent="0.25">
      <c r="B137" s="77" t="s">
        <v>495</v>
      </c>
      <c r="C137" s="78">
        <f t="shared" ref="C137:I137" si="17">+C132-C136</f>
        <v>4942563.3787499964</v>
      </c>
      <c r="D137" s="78">
        <f t="shared" si="17"/>
        <v>7141217.7265625</v>
      </c>
      <c r="E137" s="78">
        <f t="shared" si="17"/>
        <v>8529629.0257500112</v>
      </c>
      <c r="F137" s="78">
        <f t="shared" si="17"/>
        <v>10039028.410539851</v>
      </c>
      <c r="G137" s="78">
        <f t="shared" si="17"/>
        <v>11678043.661244318</v>
      </c>
      <c r="H137" s="78">
        <f t="shared" si="17"/>
        <v>13455862.865992874</v>
      </c>
      <c r="I137" s="78">
        <f t="shared" si="17"/>
        <v>15382268.88206318</v>
      </c>
    </row>
    <row r="138" spans="2:9" ht="15.75" customHeight="1" x14ac:dyDescent="0.25">
      <c r="B138" s="69"/>
      <c r="C138" s="231"/>
      <c r="D138" s="231"/>
      <c r="E138" s="231"/>
      <c r="F138" s="231"/>
      <c r="G138" s="231"/>
      <c r="H138" s="231"/>
      <c r="I138" s="231"/>
    </row>
    <row r="139" spans="2:9" ht="15.75" customHeight="1" x14ac:dyDescent="0.25">
      <c r="B139" s="124" t="s">
        <v>496</v>
      </c>
      <c r="C139" s="125" t="s">
        <v>151</v>
      </c>
      <c r="D139" s="125" t="s">
        <v>152</v>
      </c>
      <c r="E139" s="125" t="s">
        <v>153</v>
      </c>
      <c r="F139" s="125" t="s">
        <v>154</v>
      </c>
      <c r="G139" s="125" t="s">
        <v>155</v>
      </c>
      <c r="H139" s="125" t="s">
        <v>156</v>
      </c>
      <c r="I139" s="125" t="s">
        <v>157</v>
      </c>
    </row>
    <row r="140" spans="2:9" ht="15.75" customHeight="1" x14ac:dyDescent="0.25">
      <c r="B140" s="74" t="str">
        <f t="shared" ref="B140:B146" si="18">B125</f>
        <v>Faclitiy 1 - Cleaning &amp; Grading</v>
      </c>
      <c r="C140" s="232">
        <f>'6.Cons Profit &amp; Loss'!B8</f>
        <v>4088314.9999999995</v>
      </c>
      <c r="D140" s="232">
        <f>'6.Cons Profit &amp; Loss'!C8</f>
        <v>5590492.6874999991</v>
      </c>
      <c r="E140" s="232">
        <f>'6.Cons Profit &amp; Loss'!D8</f>
        <v>7055811.1968750004</v>
      </c>
      <c r="F140" s="232">
        <f>'6.Cons Profit &amp; Loss'!E8</f>
        <v>8653685.3254687507</v>
      </c>
      <c r="G140" s="232">
        <f>'6.Cons Profit &amp; Loss'!F8</f>
        <v>10393707.338929687</v>
      </c>
      <c r="H140" s="232">
        <f>'6.Cons Profit &amp; Loss'!G8</f>
        <v>12286097.340423048</v>
      </c>
      <c r="I140" s="232">
        <f>'6.Cons Profit &amp; Loss'!H8</f>
        <v>14341742.073718423</v>
      </c>
    </row>
    <row r="141" spans="2:9" ht="15.75" customHeight="1" x14ac:dyDescent="0.25">
      <c r="B141" s="74" t="str">
        <f t="shared" si="18"/>
        <v>Faclitiy 2 - Processing Unit- TURMERIC PLANT</v>
      </c>
      <c r="C141" s="232">
        <f>'6.Cons Profit &amp; Loss'!B9</f>
        <v>27564337.5</v>
      </c>
      <c r="D141" s="232">
        <f>'6.Cons Profit &amp; Loss'!C9</f>
        <v>31836809.8125</v>
      </c>
      <c r="E141" s="232">
        <f>'6.Cons Profit &amp; Loss'!D9</f>
        <v>36467618.51250001</v>
      </c>
      <c r="F141" s="232">
        <f>'6.Cons Profit &amp; Loss'!E9</f>
        <v>41481916.057968765</v>
      </c>
      <c r="G141" s="232">
        <f>'6.Cons Profit &amp; Loss'!F9</f>
        <v>46906474.311703146</v>
      </c>
      <c r="H141" s="232">
        <f>'6.Cons Profit &amp; Loss'!G9</f>
        <v>52769783.600666039</v>
      </c>
      <c r="I141" s="232">
        <f>'6.Cons Profit &amp; Loss'!H9</f>
        <v>59102157.632745989</v>
      </c>
    </row>
    <row r="142" spans="2:9" ht="15.75" customHeight="1" x14ac:dyDescent="0.25">
      <c r="B142" s="74" t="str">
        <f t="shared" si="18"/>
        <v>Faclitiy 3 - Warehouse</v>
      </c>
      <c r="C142" s="232">
        <f>'6.Cons Profit &amp; Loss'!B10</f>
        <v>0</v>
      </c>
      <c r="D142" s="232">
        <f>'6.Cons Profit &amp; Loss'!C10</f>
        <v>0</v>
      </c>
      <c r="E142" s="232">
        <f>'6.Cons Profit &amp; Loss'!D10</f>
        <v>0</v>
      </c>
      <c r="F142" s="232">
        <f>'6.Cons Profit &amp; Loss'!E10</f>
        <v>0</v>
      </c>
      <c r="G142" s="232">
        <f>'6.Cons Profit &amp; Loss'!F10</f>
        <v>0</v>
      </c>
      <c r="H142" s="232">
        <f>'6.Cons Profit &amp; Loss'!G10</f>
        <v>0</v>
      </c>
      <c r="I142" s="232">
        <f>'6.Cons Profit &amp; Loss'!H10</f>
        <v>0</v>
      </c>
    </row>
    <row r="143" spans="2:9" ht="15.75" customHeight="1" x14ac:dyDescent="0.25">
      <c r="B143" s="74" t="str">
        <f t="shared" si="18"/>
        <v xml:space="preserve">Faclitiy 4 - Custom Hiring </v>
      </c>
      <c r="C143" s="232">
        <f>'6.Cons Profit &amp; Loss'!B11</f>
        <v>0</v>
      </c>
      <c r="D143" s="232">
        <f>'6.Cons Profit &amp; Loss'!C11</f>
        <v>0</v>
      </c>
      <c r="E143" s="232">
        <f>'6.Cons Profit &amp; Loss'!D11</f>
        <v>0</v>
      </c>
      <c r="F143" s="232">
        <f>'6.Cons Profit &amp; Loss'!E11</f>
        <v>0</v>
      </c>
      <c r="G143" s="232">
        <f>'6.Cons Profit &amp; Loss'!F11</f>
        <v>0</v>
      </c>
      <c r="H143" s="232">
        <f>'6.Cons Profit &amp; Loss'!G11</f>
        <v>0</v>
      </c>
      <c r="I143" s="232">
        <f>'6.Cons Profit &amp; Loss'!H11</f>
        <v>0</v>
      </c>
    </row>
    <row r="144" spans="2:9" ht="15.75" customHeight="1" x14ac:dyDescent="0.25">
      <c r="B144" s="74" t="str">
        <f t="shared" si="18"/>
        <v>Faclitiy 5 - Agri Input Centre</v>
      </c>
      <c r="C144" s="232">
        <f>'6.Cons Profit &amp; Loss'!B12</f>
        <v>4189500</v>
      </c>
      <c r="D144" s="232">
        <f>'6.Cons Profit &amp; Loss'!C12</f>
        <v>5730243.75</v>
      </c>
      <c r="E144" s="232">
        <f>'6.Cons Profit &amp; Loss'!D12</f>
        <v>7232262.1875</v>
      </c>
      <c r="F144" s="232">
        <f>'6.Cons Profit &amp; Loss'!E12</f>
        <v>8870156.8593750019</v>
      </c>
      <c r="G144" s="232">
        <f>'6.Cons Profit &amp; Loss'!F12</f>
        <v>10653760.342968753</v>
      </c>
      <c r="H144" s="232">
        <f>'6.Cons Profit &amp; Loss'!G12</f>
        <v>12593548.782773441</v>
      </c>
      <c r="I144" s="232">
        <f>'6.Cons Profit &amp; Loss'!H12</f>
        <v>14700681.665701177</v>
      </c>
    </row>
    <row r="145" spans="2:15" ht="15.75" customHeight="1" x14ac:dyDescent="0.25">
      <c r="B145" s="74" t="str">
        <f t="shared" si="18"/>
        <v>Facility 6 - Processing Unit - Horti Commodity</v>
      </c>
      <c r="C145" s="232">
        <f>'6.Cons Profit &amp; Loss'!B13</f>
        <v>0</v>
      </c>
      <c r="D145" s="232">
        <f>'6.Cons Profit &amp; Loss'!C13</f>
        <v>0</v>
      </c>
      <c r="E145" s="232">
        <f>'6.Cons Profit &amp; Loss'!D13</f>
        <v>0</v>
      </c>
      <c r="F145" s="232">
        <f>'6.Cons Profit &amp; Loss'!E13</f>
        <v>0</v>
      </c>
      <c r="G145" s="232">
        <f>'6.Cons Profit &amp; Loss'!F13</f>
        <v>0</v>
      </c>
      <c r="H145" s="232">
        <f>'6.Cons Profit &amp; Loss'!G13</f>
        <v>0</v>
      </c>
      <c r="I145" s="232">
        <f>'6.Cons Profit &amp; Loss'!H13</f>
        <v>0</v>
      </c>
    </row>
    <row r="146" spans="2:15" ht="15.75" customHeight="1" x14ac:dyDescent="0.25">
      <c r="B146" s="74">
        <f t="shared" si="18"/>
        <v>0</v>
      </c>
      <c r="C146" s="232">
        <f>'6.Cons Profit &amp; Loss'!B14</f>
        <v>0</v>
      </c>
      <c r="D146" s="232">
        <f>'6.Cons Profit &amp; Loss'!C14</f>
        <v>0</v>
      </c>
      <c r="E146" s="232">
        <f>'6.Cons Profit &amp; Loss'!D14</f>
        <v>0</v>
      </c>
      <c r="F146" s="232">
        <f>'6.Cons Profit &amp; Loss'!E14</f>
        <v>0</v>
      </c>
      <c r="G146" s="232">
        <f>'6.Cons Profit &amp; Loss'!F14</f>
        <v>0</v>
      </c>
      <c r="H146" s="232">
        <f>'6.Cons Profit &amp; Loss'!G14</f>
        <v>0</v>
      </c>
      <c r="I146" s="232">
        <f>'6.Cons Profit &amp; Loss'!H14</f>
        <v>0</v>
      </c>
    </row>
    <row r="147" spans="2:15" ht="15.75" customHeight="1" x14ac:dyDescent="0.25">
      <c r="B147" s="74" t="s">
        <v>491</v>
      </c>
      <c r="C147" s="232">
        <f t="shared" ref="C147:I147" si="19">SUM(C140:C146)</f>
        <v>35842152.5</v>
      </c>
      <c r="D147" s="232">
        <f t="shared" si="19"/>
        <v>43157546.25</v>
      </c>
      <c r="E147" s="232">
        <f t="shared" si="19"/>
        <v>50755691.896875009</v>
      </c>
      <c r="F147" s="232">
        <f t="shared" si="19"/>
        <v>59005758.242812514</v>
      </c>
      <c r="G147" s="232">
        <f t="shared" si="19"/>
        <v>67953941.993601575</v>
      </c>
      <c r="H147" s="232">
        <f t="shared" si="19"/>
        <v>77649429.723862529</v>
      </c>
      <c r="I147" s="232">
        <f t="shared" si="19"/>
        <v>88144581.372165591</v>
      </c>
    </row>
    <row r="148" spans="2:15" ht="15.75" customHeight="1" x14ac:dyDescent="0.25">
      <c r="B148" s="74" t="s">
        <v>492</v>
      </c>
      <c r="C148" s="233"/>
      <c r="D148" s="232"/>
      <c r="E148" s="232"/>
      <c r="F148" s="232"/>
      <c r="G148" s="232"/>
      <c r="H148" s="232"/>
      <c r="I148" s="232"/>
    </row>
    <row r="149" spans="2:15" ht="15.75" customHeight="1" x14ac:dyDescent="0.25">
      <c r="B149" s="74" t="s">
        <v>493</v>
      </c>
      <c r="C149" s="234">
        <f>'6.Cons Profit &amp; Loss'!B36</f>
        <v>2391000</v>
      </c>
      <c r="D149" s="234">
        <f>'6.Cons Profit &amp; Loss'!C36</f>
        <v>2510550</v>
      </c>
      <c r="E149" s="234">
        <f>'6.Cons Profit &amp; Loss'!D36</f>
        <v>2636077.5</v>
      </c>
      <c r="F149" s="234">
        <f>'6.Cons Profit &amp; Loss'!E36</f>
        <v>2767881.3750000005</v>
      </c>
      <c r="G149" s="234">
        <f>'6.Cons Profit &amp; Loss'!F36</f>
        <v>2906275.4437500006</v>
      </c>
      <c r="H149" s="234">
        <f>'6.Cons Profit &amp; Loss'!G36</f>
        <v>3051589.2159375008</v>
      </c>
      <c r="I149" s="234">
        <f>'6.Cons Profit &amp; Loss'!H36</f>
        <v>3204168.6767343758</v>
      </c>
    </row>
    <row r="150" spans="2:15" ht="15.75" customHeight="1" x14ac:dyDescent="0.25">
      <c r="B150" s="74" t="s">
        <v>355</v>
      </c>
      <c r="C150" s="234">
        <f>'6.Cons Profit &amp; Loss'!B25*(1+$M$127)</f>
        <v>30300696.746250004</v>
      </c>
      <c r="D150" s="234">
        <f>'6.Cons Profit &amp; Loss'!C25*(1+$M$127)</f>
        <v>37446838.627734378</v>
      </c>
      <c r="E150" s="234">
        <f>'6.Cons Profit &amp; Loss'!D25*(1+$M$127)</f>
        <v>44234158.464267194</v>
      </c>
      <c r="F150" s="234">
        <f>'6.Cons Profit &amp; Loss'!E25*(1+$M$127)</f>
        <v>51606593.187883958</v>
      </c>
      <c r="G150" s="234">
        <f>'6.Cons Profit &amp; Loss'!F25*(1+$M$127)</f>
        <v>59605685.987701721</v>
      </c>
      <c r="H150" s="234">
        <f>'6.Cons Profit &amp; Loss'!G25*(1+$M$127)</f>
        <v>68275671.584531561</v>
      </c>
      <c r="I150" s="234">
        <f>'6.Cons Profit &amp; Loss'!H25*(1+$M$127)</f>
        <v>77663641.52607514</v>
      </c>
    </row>
    <row r="151" spans="2:15" ht="15.75" customHeight="1" x14ac:dyDescent="0.25">
      <c r="B151" s="74" t="s">
        <v>494</v>
      </c>
      <c r="C151" s="234">
        <f t="shared" ref="C151:I151" si="20">SUM(C149:C150)</f>
        <v>32691696.746250004</v>
      </c>
      <c r="D151" s="234">
        <f t="shared" si="20"/>
        <v>39957388.627734378</v>
      </c>
      <c r="E151" s="234">
        <f t="shared" si="20"/>
        <v>46870235.964267194</v>
      </c>
      <c r="F151" s="234">
        <f t="shared" si="20"/>
        <v>54374474.562883958</v>
      </c>
      <c r="G151" s="234">
        <f t="shared" si="20"/>
        <v>62511961.431451723</v>
      </c>
      <c r="H151" s="234">
        <f t="shared" si="20"/>
        <v>71327260.800469056</v>
      </c>
      <c r="I151" s="234">
        <f t="shared" si="20"/>
        <v>80867810.202809513</v>
      </c>
    </row>
    <row r="152" spans="2:15" ht="15.75" customHeight="1" x14ac:dyDescent="0.25">
      <c r="B152" s="77" t="s">
        <v>495</v>
      </c>
      <c r="C152" s="235">
        <f t="shared" ref="C152:I152" si="21">+C147-C151</f>
        <v>3150455.7537499964</v>
      </c>
      <c r="D152" s="235">
        <f t="shared" si="21"/>
        <v>3200157.622265622</v>
      </c>
      <c r="E152" s="235">
        <f t="shared" si="21"/>
        <v>3885455.9326078147</v>
      </c>
      <c r="F152" s="235">
        <f t="shared" si="21"/>
        <v>4631283.6799285561</v>
      </c>
      <c r="G152" s="235">
        <f t="shared" si="21"/>
        <v>5441980.5621498525</v>
      </c>
      <c r="H152" s="235">
        <f t="shared" si="21"/>
        <v>6322168.923393473</v>
      </c>
      <c r="I152" s="235">
        <f t="shared" si="21"/>
        <v>7276771.1693560779</v>
      </c>
      <c r="N152" s="153"/>
      <c r="O152" s="208"/>
    </row>
    <row r="153" spans="2:15" ht="15.75" customHeight="1" x14ac:dyDescent="0.25">
      <c r="B153" s="69"/>
      <c r="C153" s="231"/>
      <c r="D153" s="231"/>
      <c r="E153" s="231"/>
      <c r="F153" s="231"/>
      <c r="G153" s="231"/>
      <c r="H153" s="231"/>
      <c r="I153" s="231"/>
    </row>
    <row r="154" spans="2:15" ht="15.75" customHeight="1" x14ac:dyDescent="0.25">
      <c r="B154" s="124" t="s">
        <v>497</v>
      </c>
      <c r="C154" s="125" t="s">
        <v>151</v>
      </c>
      <c r="D154" s="125" t="s">
        <v>152</v>
      </c>
      <c r="E154" s="125" t="s">
        <v>153</v>
      </c>
      <c r="F154" s="125" t="s">
        <v>154</v>
      </c>
      <c r="G154" s="125" t="s">
        <v>155</v>
      </c>
      <c r="H154" s="125" t="s">
        <v>156</v>
      </c>
      <c r="I154" s="125" t="s">
        <v>157</v>
      </c>
    </row>
    <row r="155" spans="2:15" ht="15.75" customHeight="1" x14ac:dyDescent="0.25">
      <c r="B155" s="74" t="str">
        <f t="shared" ref="B155:B161" si="22">B140</f>
        <v>Faclitiy 1 - Cleaning &amp; Grading</v>
      </c>
      <c r="C155" s="76">
        <f>'6.Cons Profit &amp; Loss'!B8*(1-$M$126)</f>
        <v>3883899.2499999995</v>
      </c>
      <c r="D155" s="76">
        <f>'6.Cons Profit &amp; Loss'!C8*(1-$M$126)</f>
        <v>5310968.0531249987</v>
      </c>
      <c r="E155" s="76">
        <f>'6.Cons Profit &amp; Loss'!D8*(1-$M$126)</f>
        <v>6703020.6370312497</v>
      </c>
      <c r="F155" s="76">
        <f>'6.Cons Profit &amp; Loss'!E8*(1-$M$126)</f>
        <v>8221001.0591953127</v>
      </c>
      <c r="G155" s="76">
        <f>'6.Cons Profit &amp; Loss'!F8*(1-$M$126)</f>
        <v>9874021.9719832018</v>
      </c>
      <c r="H155" s="76">
        <f>'6.Cons Profit &amp; Loss'!G8*(1-$M$126)</f>
        <v>11671792.473401895</v>
      </c>
      <c r="I155" s="76">
        <f>'6.Cons Profit &amp; Loss'!H8*(1-$M$126)</f>
        <v>13624654.970032502</v>
      </c>
    </row>
    <row r="156" spans="2:15" ht="15.75" customHeight="1" x14ac:dyDescent="0.25">
      <c r="B156" s="74" t="str">
        <f t="shared" si="22"/>
        <v>Faclitiy 2 - Processing Unit- TURMERIC PLANT</v>
      </c>
      <c r="C156" s="76">
        <f>'6.Cons Profit &amp; Loss'!B9*(1-$M$126)</f>
        <v>26186120.625</v>
      </c>
      <c r="D156" s="76">
        <f>'6.Cons Profit &amp; Loss'!C9*(1-$M$126)</f>
        <v>30244969.321874999</v>
      </c>
      <c r="E156" s="76">
        <f>'6.Cons Profit &amp; Loss'!D9*(1-$M$126)</f>
        <v>34644237.586875007</v>
      </c>
      <c r="F156" s="76">
        <f>'6.Cons Profit &amp; Loss'!E9*(1-$M$126)</f>
        <v>39407820.255070329</v>
      </c>
      <c r="G156" s="76">
        <f>'6.Cons Profit &amp; Loss'!F9*(1-$M$126)</f>
        <v>44561150.596117988</v>
      </c>
      <c r="H156" s="76">
        <f>'6.Cons Profit &amp; Loss'!G9*(1-$M$126)</f>
        <v>50131294.420632735</v>
      </c>
      <c r="I156" s="76">
        <f>'6.Cons Profit &amp; Loss'!H9*(1-$M$126)</f>
        <v>56147049.751108684</v>
      </c>
    </row>
    <row r="157" spans="2:15" ht="15.75" customHeight="1" x14ac:dyDescent="0.25">
      <c r="B157" s="74" t="str">
        <f t="shared" si="22"/>
        <v>Faclitiy 3 - Warehouse</v>
      </c>
      <c r="C157" s="76">
        <f>'6.Cons Profit &amp; Loss'!B10*(1-$M$126)</f>
        <v>0</v>
      </c>
      <c r="D157" s="76">
        <f>'6.Cons Profit &amp; Loss'!C10*(1-$M$126)</f>
        <v>0</v>
      </c>
      <c r="E157" s="76">
        <f>'6.Cons Profit &amp; Loss'!D10*(1-$M$126)</f>
        <v>0</v>
      </c>
      <c r="F157" s="76">
        <f>'6.Cons Profit &amp; Loss'!E10*(1-$M$126)</f>
        <v>0</v>
      </c>
      <c r="G157" s="76">
        <f>'6.Cons Profit &amp; Loss'!F10*(1-$M$126)</f>
        <v>0</v>
      </c>
      <c r="H157" s="76">
        <f>'6.Cons Profit &amp; Loss'!G10*(1-$M$126)</f>
        <v>0</v>
      </c>
      <c r="I157" s="76">
        <f>'6.Cons Profit &amp; Loss'!H10*(1-$M$126)</f>
        <v>0</v>
      </c>
    </row>
    <row r="158" spans="2:15" ht="15.75" customHeight="1" x14ac:dyDescent="0.25">
      <c r="B158" s="74" t="str">
        <f t="shared" si="22"/>
        <v xml:space="preserve">Faclitiy 4 - Custom Hiring </v>
      </c>
      <c r="C158" s="76">
        <f>'6.Cons Profit &amp; Loss'!B11*(1-$M$126)</f>
        <v>0</v>
      </c>
      <c r="D158" s="76">
        <f>'6.Cons Profit &amp; Loss'!C11*(1-$M$126)</f>
        <v>0</v>
      </c>
      <c r="E158" s="76">
        <f>'6.Cons Profit &amp; Loss'!D11*(1-$M$126)</f>
        <v>0</v>
      </c>
      <c r="F158" s="76">
        <f>'6.Cons Profit &amp; Loss'!E11*(1-$M$126)</f>
        <v>0</v>
      </c>
      <c r="G158" s="76">
        <f>'6.Cons Profit &amp; Loss'!F11*(1-$M$126)</f>
        <v>0</v>
      </c>
      <c r="H158" s="76">
        <f>'6.Cons Profit &amp; Loss'!G11*(1-$M$126)</f>
        <v>0</v>
      </c>
      <c r="I158" s="76">
        <f>'6.Cons Profit &amp; Loss'!H11*(1-$M$126)</f>
        <v>0</v>
      </c>
    </row>
    <row r="159" spans="2:15" ht="15.75" customHeight="1" x14ac:dyDescent="0.25">
      <c r="B159" s="74" t="str">
        <f t="shared" si="22"/>
        <v>Faclitiy 5 - Agri Input Centre</v>
      </c>
      <c r="C159" s="76">
        <f>'6.Cons Profit &amp; Loss'!B12*(1-$M$126)</f>
        <v>3980025</v>
      </c>
      <c r="D159" s="76">
        <f>'6.Cons Profit &amp; Loss'!C12*(1-$M$126)</f>
        <v>5443731.5625</v>
      </c>
      <c r="E159" s="76">
        <f>'6.Cons Profit &amp; Loss'!D12*(1-$M$126)</f>
        <v>6870649.078125</v>
      </c>
      <c r="F159" s="76">
        <f>'6.Cons Profit &amp; Loss'!E12*(1-$M$126)</f>
        <v>8426649.0164062511</v>
      </c>
      <c r="G159" s="76">
        <f>'6.Cons Profit &amp; Loss'!F12*(1-$M$126)</f>
        <v>10121072.325820314</v>
      </c>
      <c r="H159" s="76">
        <f>'6.Cons Profit &amp; Loss'!G12*(1-$M$126)</f>
        <v>11963871.343634767</v>
      </c>
      <c r="I159" s="76">
        <f>'6.Cons Profit &amp; Loss'!H12*(1-$M$126)</f>
        <v>13965647.582416117</v>
      </c>
    </row>
    <row r="160" spans="2:15" ht="15.75" customHeight="1" x14ac:dyDescent="0.25">
      <c r="B160" s="74" t="str">
        <f t="shared" si="22"/>
        <v>Facility 6 - Processing Unit - Horti Commodity</v>
      </c>
      <c r="C160" s="76">
        <f>'6.Cons Profit &amp; Loss'!B13*(1-$M$126)</f>
        <v>0</v>
      </c>
      <c r="D160" s="76">
        <f>'6.Cons Profit &amp; Loss'!C13*(1-$M$126)</f>
        <v>0</v>
      </c>
      <c r="E160" s="76">
        <f>'6.Cons Profit &amp; Loss'!D13*(1-$M$126)</f>
        <v>0</v>
      </c>
      <c r="F160" s="76">
        <f>'6.Cons Profit &amp; Loss'!E13*(1-$M$126)</f>
        <v>0</v>
      </c>
      <c r="G160" s="76">
        <f>'6.Cons Profit &amp; Loss'!F13*(1-$M$126)</f>
        <v>0</v>
      </c>
      <c r="H160" s="76">
        <f>'6.Cons Profit &amp; Loss'!G13*(1-$M$126)</f>
        <v>0</v>
      </c>
      <c r="I160" s="76">
        <f>'6.Cons Profit &amp; Loss'!H13*(1-$M$126)</f>
        <v>0</v>
      </c>
    </row>
    <row r="161" spans="2:9" ht="15.75" customHeight="1" x14ac:dyDescent="0.25">
      <c r="B161" s="74">
        <f t="shared" si="22"/>
        <v>0</v>
      </c>
      <c r="C161" s="76">
        <f>'6.Cons Profit &amp; Loss'!B14*(1-$M$126)</f>
        <v>0</v>
      </c>
      <c r="D161" s="76">
        <f>'6.Cons Profit &amp; Loss'!C14*(1-$M$126)</f>
        <v>0</v>
      </c>
      <c r="E161" s="76">
        <f>'6.Cons Profit &amp; Loss'!D14*(1-$M$126)</f>
        <v>0</v>
      </c>
      <c r="F161" s="76">
        <f>'6.Cons Profit &amp; Loss'!E14*(1-$M$126)</f>
        <v>0</v>
      </c>
      <c r="G161" s="76">
        <f>'6.Cons Profit &amp; Loss'!F14*(1-$M$126)</f>
        <v>0</v>
      </c>
      <c r="H161" s="76">
        <f>'6.Cons Profit &amp; Loss'!G14*(1-$M$126)</f>
        <v>0</v>
      </c>
      <c r="I161" s="76">
        <f>'6.Cons Profit &amp; Loss'!H14*(1-$M$126)</f>
        <v>0</v>
      </c>
    </row>
    <row r="162" spans="2:9" ht="15.75" customHeight="1" x14ac:dyDescent="0.25">
      <c r="B162" s="74" t="s">
        <v>491</v>
      </c>
      <c r="C162" s="76">
        <f t="shared" ref="C162:I162" si="23">SUM(C155:C161)</f>
        <v>34050044.875</v>
      </c>
      <c r="D162" s="76">
        <f t="shared" si="23"/>
        <v>40999668.9375</v>
      </c>
      <c r="E162" s="76">
        <f t="shared" si="23"/>
        <v>48217907.302031256</v>
      </c>
      <c r="F162" s="76">
        <f t="shared" si="23"/>
        <v>56055470.330671892</v>
      </c>
      <c r="G162" s="76">
        <f t="shared" si="23"/>
        <v>64556244.893921502</v>
      </c>
      <c r="H162" s="76">
        <f t="shared" si="23"/>
        <v>73766958.237669393</v>
      </c>
      <c r="I162" s="76">
        <f t="shared" si="23"/>
        <v>83737352.303557307</v>
      </c>
    </row>
    <row r="163" spans="2:9" ht="15.75" customHeight="1" x14ac:dyDescent="0.25">
      <c r="B163" s="74" t="s">
        <v>492</v>
      </c>
      <c r="C163" s="76"/>
      <c r="D163" s="76"/>
      <c r="E163" s="76"/>
      <c r="F163" s="76"/>
      <c r="G163" s="76"/>
      <c r="H163" s="76"/>
      <c r="I163" s="76"/>
    </row>
    <row r="164" spans="2:9" ht="15.75" customHeight="1" x14ac:dyDescent="0.25">
      <c r="B164" s="74" t="s">
        <v>493</v>
      </c>
      <c r="C164" s="76">
        <f>'6.Cons Profit &amp; Loss'!B36</f>
        <v>2391000</v>
      </c>
      <c r="D164" s="76">
        <f>'6.Cons Profit &amp; Loss'!C36</f>
        <v>2510550</v>
      </c>
      <c r="E164" s="76">
        <f>'6.Cons Profit &amp; Loss'!D36</f>
        <v>2636077.5</v>
      </c>
      <c r="F164" s="76">
        <f>'6.Cons Profit &amp; Loss'!E36</f>
        <v>2767881.3750000005</v>
      </c>
      <c r="G164" s="76">
        <f>'6.Cons Profit &amp; Loss'!F36</f>
        <v>2906275.4437500006</v>
      </c>
      <c r="H164" s="76">
        <f>'6.Cons Profit &amp; Loss'!G36</f>
        <v>3051589.2159375008</v>
      </c>
      <c r="I164" s="76">
        <f>'6.Cons Profit &amp; Loss'!H36</f>
        <v>3204168.6767343758</v>
      </c>
    </row>
    <row r="165" spans="2:9" ht="15.75" customHeight="1" x14ac:dyDescent="0.25">
      <c r="B165" s="74" t="s">
        <v>355</v>
      </c>
      <c r="C165" s="76">
        <f>'6.Cons Profit &amp; Loss'!B25*(1-$M$126)</f>
        <v>27414916.103749998</v>
      </c>
      <c r="D165" s="76">
        <f>'6.Cons Profit &amp; Loss'!C25*(1-$M$126)</f>
        <v>33880473.044140622</v>
      </c>
      <c r="E165" s="76">
        <f>'6.Cons Profit &amp; Loss'!D25*(1-$M$126)</f>
        <v>40021381.467670321</v>
      </c>
      <c r="F165" s="76">
        <f>'6.Cons Profit &amp; Loss'!E25*(1-$M$126)</f>
        <v>46691679.55094263</v>
      </c>
      <c r="G165" s="76">
        <f>'6.Cons Profit &amp; Loss'!F25*(1-$M$126)</f>
        <v>53928953.988872983</v>
      </c>
      <c r="H165" s="76">
        <f>'6.Cons Profit &amp; Loss'!G25*(1-$M$126)</f>
        <v>61773226.67171903</v>
      </c>
      <c r="I165" s="76">
        <f>'6.Cons Profit &amp; Loss'!H25*(1-$M$126)</f>
        <v>70267104.237877503</v>
      </c>
    </row>
    <row r="166" spans="2:9" ht="15.75" customHeight="1" x14ac:dyDescent="0.25">
      <c r="B166" s="74" t="s">
        <v>494</v>
      </c>
      <c r="C166" s="76">
        <f t="shared" ref="C166:I166" si="24">SUM(C164:C165)</f>
        <v>29805916.103749998</v>
      </c>
      <c r="D166" s="76">
        <f t="shared" si="24"/>
        <v>36391023.044140622</v>
      </c>
      <c r="E166" s="76">
        <f t="shared" si="24"/>
        <v>42657458.967670321</v>
      </c>
      <c r="F166" s="76">
        <f t="shared" si="24"/>
        <v>49459560.92594263</v>
      </c>
      <c r="G166" s="76">
        <f t="shared" si="24"/>
        <v>56835229.432622984</v>
      </c>
      <c r="H166" s="76">
        <f t="shared" si="24"/>
        <v>64824815.887656532</v>
      </c>
      <c r="I166" s="76">
        <f t="shared" si="24"/>
        <v>73471272.914611876</v>
      </c>
    </row>
    <row r="167" spans="2:9" ht="15.75" customHeight="1" x14ac:dyDescent="0.25">
      <c r="B167" s="77" t="s">
        <v>495</v>
      </c>
      <c r="C167" s="78">
        <f t="shared" ref="C167:I167" si="25">+C162-C166</f>
        <v>4244128.7712500021</v>
      </c>
      <c r="D167" s="78">
        <f t="shared" si="25"/>
        <v>4608645.893359378</v>
      </c>
      <c r="E167" s="78">
        <f t="shared" si="25"/>
        <v>5560448.3343609348</v>
      </c>
      <c r="F167" s="78">
        <f t="shared" si="25"/>
        <v>6595909.404729262</v>
      </c>
      <c r="G167" s="78">
        <f t="shared" si="25"/>
        <v>7721015.4612985179</v>
      </c>
      <c r="H167" s="78">
        <f t="shared" si="25"/>
        <v>8942142.3500128612</v>
      </c>
      <c r="I167" s="78">
        <f t="shared" si="25"/>
        <v>10266079.388945431</v>
      </c>
    </row>
    <row r="168" spans="2:9" ht="15.75" customHeight="1" x14ac:dyDescent="0.25">
      <c r="B168" s="79"/>
      <c r="C168" s="231"/>
      <c r="D168" s="231"/>
      <c r="E168" s="231"/>
      <c r="F168" s="231"/>
      <c r="G168" s="231"/>
      <c r="H168" s="231"/>
      <c r="I168" s="231"/>
    </row>
    <row r="169" spans="2:9" ht="15.75" customHeight="1" x14ac:dyDescent="0.25">
      <c r="B169" s="124" t="s">
        <v>498</v>
      </c>
      <c r="C169" s="125" t="s">
        <v>151</v>
      </c>
      <c r="D169" s="125" t="s">
        <v>152</v>
      </c>
      <c r="E169" s="125" t="s">
        <v>153</v>
      </c>
      <c r="F169" s="125" t="s">
        <v>154</v>
      </c>
      <c r="G169" s="125" t="s">
        <v>155</v>
      </c>
      <c r="H169" s="125" t="s">
        <v>156</v>
      </c>
      <c r="I169" s="125" t="s">
        <v>157</v>
      </c>
    </row>
    <row r="170" spans="2:9" ht="15.75" customHeight="1" x14ac:dyDescent="0.25">
      <c r="B170" s="74" t="str">
        <f t="shared" ref="B170:B176" si="26">B155</f>
        <v>Faclitiy 1 - Cleaning &amp; Grading</v>
      </c>
      <c r="C170" s="232">
        <f>'6.Cons Profit &amp; Loss'!B8</f>
        <v>4088314.9999999995</v>
      </c>
      <c r="D170" s="232">
        <f>'6.Cons Profit &amp; Loss'!C8</f>
        <v>5590492.6874999991</v>
      </c>
      <c r="E170" s="232">
        <f>'6.Cons Profit &amp; Loss'!D8</f>
        <v>7055811.1968750004</v>
      </c>
      <c r="F170" s="232">
        <f>'6.Cons Profit &amp; Loss'!E8</f>
        <v>8653685.3254687507</v>
      </c>
      <c r="G170" s="232">
        <f>'6.Cons Profit &amp; Loss'!F8</f>
        <v>10393707.338929687</v>
      </c>
      <c r="H170" s="232">
        <f>'6.Cons Profit &amp; Loss'!G8</f>
        <v>12286097.340423048</v>
      </c>
      <c r="I170" s="232">
        <f>'6.Cons Profit &amp; Loss'!H8</f>
        <v>14341742.073718423</v>
      </c>
    </row>
    <row r="171" spans="2:9" ht="15.75" customHeight="1" x14ac:dyDescent="0.25">
      <c r="B171" s="74" t="str">
        <f t="shared" si="26"/>
        <v>Faclitiy 2 - Processing Unit- TURMERIC PLANT</v>
      </c>
      <c r="C171" s="232">
        <f>'6.Cons Profit &amp; Loss'!B9</f>
        <v>27564337.5</v>
      </c>
      <c r="D171" s="232">
        <f>'6.Cons Profit &amp; Loss'!C9</f>
        <v>31836809.8125</v>
      </c>
      <c r="E171" s="232">
        <f>'6.Cons Profit &amp; Loss'!D9</f>
        <v>36467618.51250001</v>
      </c>
      <c r="F171" s="232">
        <f>'6.Cons Profit &amp; Loss'!E9</f>
        <v>41481916.057968765</v>
      </c>
      <c r="G171" s="232">
        <f>'6.Cons Profit &amp; Loss'!F9</f>
        <v>46906474.311703146</v>
      </c>
      <c r="H171" s="232">
        <f>'6.Cons Profit &amp; Loss'!G9</f>
        <v>52769783.600666039</v>
      </c>
      <c r="I171" s="232">
        <f>'6.Cons Profit &amp; Loss'!H9</f>
        <v>59102157.632745989</v>
      </c>
    </row>
    <row r="172" spans="2:9" ht="15.75" customHeight="1" x14ac:dyDescent="0.25">
      <c r="B172" s="74" t="str">
        <f t="shared" si="26"/>
        <v>Faclitiy 3 - Warehouse</v>
      </c>
      <c r="C172" s="232">
        <f>'6.Cons Profit &amp; Loss'!B10</f>
        <v>0</v>
      </c>
      <c r="D172" s="232">
        <f>'6.Cons Profit &amp; Loss'!C10</f>
        <v>0</v>
      </c>
      <c r="E172" s="232">
        <f>'6.Cons Profit &amp; Loss'!D10</f>
        <v>0</v>
      </c>
      <c r="F172" s="232">
        <f>'6.Cons Profit &amp; Loss'!E10</f>
        <v>0</v>
      </c>
      <c r="G172" s="232">
        <f>'6.Cons Profit &amp; Loss'!F10</f>
        <v>0</v>
      </c>
      <c r="H172" s="232">
        <f>'6.Cons Profit &amp; Loss'!G10</f>
        <v>0</v>
      </c>
      <c r="I172" s="232">
        <f>'6.Cons Profit &amp; Loss'!H10</f>
        <v>0</v>
      </c>
    </row>
    <row r="173" spans="2:9" ht="15.75" customHeight="1" x14ac:dyDescent="0.25">
      <c r="B173" s="74" t="str">
        <f t="shared" si="26"/>
        <v xml:space="preserve">Faclitiy 4 - Custom Hiring </v>
      </c>
      <c r="C173" s="232">
        <f>'6.Cons Profit &amp; Loss'!B11</f>
        <v>0</v>
      </c>
      <c r="D173" s="232">
        <f>'6.Cons Profit &amp; Loss'!C11</f>
        <v>0</v>
      </c>
      <c r="E173" s="232">
        <f>'6.Cons Profit &amp; Loss'!D11</f>
        <v>0</v>
      </c>
      <c r="F173" s="232">
        <f>'6.Cons Profit &amp; Loss'!E11</f>
        <v>0</v>
      </c>
      <c r="G173" s="232">
        <f>'6.Cons Profit &amp; Loss'!F11</f>
        <v>0</v>
      </c>
      <c r="H173" s="232">
        <f>'6.Cons Profit &amp; Loss'!G11</f>
        <v>0</v>
      </c>
      <c r="I173" s="232">
        <f>'6.Cons Profit &amp; Loss'!H11</f>
        <v>0</v>
      </c>
    </row>
    <row r="174" spans="2:9" ht="15.75" customHeight="1" x14ac:dyDescent="0.25">
      <c r="B174" s="74" t="str">
        <f t="shared" si="26"/>
        <v>Faclitiy 5 - Agri Input Centre</v>
      </c>
      <c r="C174" s="232">
        <f>'6.Cons Profit &amp; Loss'!B12</f>
        <v>4189500</v>
      </c>
      <c r="D174" s="232">
        <f>'6.Cons Profit &amp; Loss'!C12</f>
        <v>5730243.75</v>
      </c>
      <c r="E174" s="232">
        <f>'6.Cons Profit &amp; Loss'!D12</f>
        <v>7232262.1875</v>
      </c>
      <c r="F174" s="232">
        <f>'6.Cons Profit &amp; Loss'!E12</f>
        <v>8870156.8593750019</v>
      </c>
      <c r="G174" s="232">
        <f>'6.Cons Profit &amp; Loss'!F12</f>
        <v>10653760.342968753</v>
      </c>
      <c r="H174" s="232">
        <f>'6.Cons Profit &amp; Loss'!G12</f>
        <v>12593548.782773441</v>
      </c>
      <c r="I174" s="232">
        <f>'6.Cons Profit &amp; Loss'!H12</f>
        <v>14700681.665701177</v>
      </c>
    </row>
    <row r="175" spans="2:9" ht="15.75" customHeight="1" x14ac:dyDescent="0.25">
      <c r="B175" s="74" t="str">
        <f t="shared" si="26"/>
        <v>Facility 6 - Processing Unit - Horti Commodity</v>
      </c>
      <c r="C175" s="232">
        <f>'6.Cons Profit &amp; Loss'!B13</f>
        <v>0</v>
      </c>
      <c r="D175" s="232">
        <f>'6.Cons Profit &amp; Loss'!C13</f>
        <v>0</v>
      </c>
      <c r="E175" s="232">
        <f>'6.Cons Profit &amp; Loss'!D13</f>
        <v>0</v>
      </c>
      <c r="F175" s="232">
        <f>'6.Cons Profit &amp; Loss'!E13</f>
        <v>0</v>
      </c>
      <c r="G175" s="232">
        <f>'6.Cons Profit &amp; Loss'!F13</f>
        <v>0</v>
      </c>
      <c r="H175" s="232">
        <f>'6.Cons Profit &amp; Loss'!G13</f>
        <v>0</v>
      </c>
      <c r="I175" s="232">
        <f>'6.Cons Profit &amp; Loss'!H13</f>
        <v>0</v>
      </c>
    </row>
    <row r="176" spans="2:9" ht="15.75" customHeight="1" x14ac:dyDescent="0.25">
      <c r="B176" s="74">
        <f t="shared" si="26"/>
        <v>0</v>
      </c>
      <c r="C176" s="232">
        <f>'6.Cons Profit &amp; Loss'!B14</f>
        <v>0</v>
      </c>
      <c r="D176" s="232">
        <f>'6.Cons Profit &amp; Loss'!C14</f>
        <v>0</v>
      </c>
      <c r="E176" s="232">
        <f>'6.Cons Profit &amp; Loss'!D14</f>
        <v>0</v>
      </c>
      <c r="F176" s="232">
        <f>'6.Cons Profit &amp; Loss'!E14</f>
        <v>0</v>
      </c>
      <c r="G176" s="232">
        <f>'6.Cons Profit &amp; Loss'!F14</f>
        <v>0</v>
      </c>
      <c r="H176" s="232">
        <f>'6.Cons Profit &amp; Loss'!G14</f>
        <v>0</v>
      </c>
      <c r="I176" s="232">
        <f>'6.Cons Profit &amp; Loss'!H14</f>
        <v>0</v>
      </c>
    </row>
    <row r="177" spans="2:13" ht="15.75" customHeight="1" x14ac:dyDescent="0.25">
      <c r="B177" s="74" t="s">
        <v>491</v>
      </c>
      <c r="C177" s="232">
        <f t="shared" ref="C177:I177" si="27">SUM(C170:C176)</f>
        <v>35842152.5</v>
      </c>
      <c r="D177" s="232">
        <f t="shared" si="27"/>
        <v>43157546.25</v>
      </c>
      <c r="E177" s="232">
        <f t="shared" si="27"/>
        <v>50755691.896875009</v>
      </c>
      <c r="F177" s="232">
        <f t="shared" si="27"/>
        <v>59005758.242812514</v>
      </c>
      <c r="G177" s="232">
        <f t="shared" si="27"/>
        <v>67953941.993601575</v>
      </c>
      <c r="H177" s="232">
        <f t="shared" si="27"/>
        <v>77649429.723862529</v>
      </c>
      <c r="I177" s="232">
        <f t="shared" si="27"/>
        <v>88144581.372165591</v>
      </c>
    </row>
    <row r="178" spans="2:13" ht="15.75" customHeight="1" x14ac:dyDescent="0.25">
      <c r="B178" s="74" t="s">
        <v>492</v>
      </c>
      <c r="C178" s="232"/>
      <c r="D178" s="232"/>
      <c r="E178" s="232"/>
      <c r="F178" s="232"/>
      <c r="G178" s="232"/>
      <c r="H178" s="232"/>
      <c r="I178" s="232"/>
    </row>
    <row r="179" spans="2:13" ht="15.75" customHeight="1" x14ac:dyDescent="0.25">
      <c r="B179" s="74" t="s">
        <v>493</v>
      </c>
      <c r="C179" s="232">
        <f>'6.Cons Profit &amp; Loss'!B36</f>
        <v>2391000</v>
      </c>
      <c r="D179" s="232">
        <f>'6.Cons Profit &amp; Loss'!C36</f>
        <v>2510550</v>
      </c>
      <c r="E179" s="232">
        <f>'6.Cons Profit &amp; Loss'!D36</f>
        <v>2636077.5</v>
      </c>
      <c r="F179" s="232">
        <f>'6.Cons Profit &amp; Loss'!E36</f>
        <v>2767881.3750000005</v>
      </c>
      <c r="G179" s="232">
        <f>'6.Cons Profit &amp; Loss'!F36</f>
        <v>2906275.4437500006</v>
      </c>
      <c r="H179" s="232">
        <f>'6.Cons Profit &amp; Loss'!G36</f>
        <v>3051589.2159375008</v>
      </c>
      <c r="I179" s="232">
        <f>'6.Cons Profit &amp; Loss'!H36</f>
        <v>3204168.6767343758</v>
      </c>
    </row>
    <row r="180" spans="2:13" ht="15.75" customHeight="1" x14ac:dyDescent="0.25">
      <c r="B180" s="74" t="s">
        <v>355</v>
      </c>
      <c r="C180" s="232">
        <f>'6.Cons Profit &amp; Loss'!B25*(1-$M$127)</f>
        <v>27414916.103749998</v>
      </c>
      <c r="D180" s="232">
        <f>'6.Cons Profit &amp; Loss'!C25*(1-$M$127)</f>
        <v>33880473.044140622</v>
      </c>
      <c r="E180" s="232">
        <f>'6.Cons Profit &amp; Loss'!D25*(1-$M$127)</f>
        <v>40021381.467670321</v>
      </c>
      <c r="F180" s="232">
        <f>'6.Cons Profit &amp; Loss'!E25*(1-$M$127)</f>
        <v>46691679.55094263</v>
      </c>
      <c r="G180" s="232">
        <f>'6.Cons Profit &amp; Loss'!F25*(1-$M$127)</f>
        <v>53928953.988872983</v>
      </c>
      <c r="H180" s="232">
        <f>'6.Cons Profit &amp; Loss'!G25*(1-$M$127)</f>
        <v>61773226.67171903</v>
      </c>
      <c r="I180" s="232">
        <f>'6.Cons Profit &amp; Loss'!H25*(1-$M$127)</f>
        <v>70267104.237877503</v>
      </c>
    </row>
    <row r="181" spans="2:13" ht="15.75" customHeight="1" x14ac:dyDescent="0.25">
      <c r="B181" s="74" t="s">
        <v>494</v>
      </c>
      <c r="C181" s="232">
        <f t="shared" ref="C181:I181" si="28">SUM(C179:C180)</f>
        <v>29805916.103749998</v>
      </c>
      <c r="D181" s="232">
        <f t="shared" si="28"/>
        <v>36391023.044140622</v>
      </c>
      <c r="E181" s="232">
        <f t="shared" si="28"/>
        <v>42657458.967670321</v>
      </c>
      <c r="F181" s="232">
        <f t="shared" si="28"/>
        <v>49459560.92594263</v>
      </c>
      <c r="G181" s="232">
        <f t="shared" si="28"/>
        <v>56835229.432622984</v>
      </c>
      <c r="H181" s="232">
        <f t="shared" si="28"/>
        <v>64824815.887656532</v>
      </c>
      <c r="I181" s="232">
        <f t="shared" si="28"/>
        <v>73471272.914611876</v>
      </c>
    </row>
    <row r="182" spans="2:13" ht="15.75" customHeight="1" x14ac:dyDescent="0.25">
      <c r="B182" s="77" t="s">
        <v>495</v>
      </c>
      <c r="C182" s="236">
        <f t="shared" ref="C182:I182" si="29">+C177-C181</f>
        <v>6036236.3962500021</v>
      </c>
      <c r="D182" s="236">
        <f t="shared" si="29"/>
        <v>6766523.205859378</v>
      </c>
      <c r="E182" s="236">
        <f t="shared" si="29"/>
        <v>8098232.9292046875</v>
      </c>
      <c r="F182" s="236">
        <f t="shared" si="29"/>
        <v>9546197.3168698847</v>
      </c>
      <c r="G182" s="236">
        <f t="shared" si="29"/>
        <v>11118712.560978591</v>
      </c>
      <c r="H182" s="236">
        <f t="shared" si="29"/>
        <v>12824613.836205997</v>
      </c>
      <c r="I182" s="236">
        <f t="shared" si="29"/>
        <v>14673308.457553715</v>
      </c>
    </row>
    <row r="183" spans="2:13" ht="15.75" customHeight="1" x14ac:dyDescent="0.25"/>
    <row r="184" spans="2:13" ht="40.5" customHeight="1" x14ac:dyDescent="0.25">
      <c r="B184" s="380" t="s">
        <v>499</v>
      </c>
      <c r="C184" s="338"/>
      <c r="D184" s="338"/>
      <c r="E184" s="338"/>
      <c r="F184" s="338"/>
      <c r="G184" s="338"/>
      <c r="H184" s="338"/>
      <c r="I184" s="338"/>
      <c r="J184" s="237"/>
      <c r="K184" s="237"/>
      <c r="L184" s="237"/>
      <c r="M184" s="237"/>
    </row>
  </sheetData>
  <mergeCells count="20">
    <mergeCell ref="B76:I76"/>
    <mergeCell ref="C82:I82"/>
    <mergeCell ref="C83:I83"/>
    <mergeCell ref="B88:I88"/>
    <mergeCell ref="B90:J90"/>
    <mergeCell ref="B5:J5"/>
    <mergeCell ref="B184:I184"/>
    <mergeCell ref="K123:R123"/>
    <mergeCell ref="D20:J20"/>
    <mergeCell ref="B103:J103"/>
    <mergeCell ref="B105:I105"/>
    <mergeCell ref="C85:I85"/>
    <mergeCell ref="D22:J22"/>
    <mergeCell ref="B26:I26"/>
    <mergeCell ref="B24:J24"/>
    <mergeCell ref="B54:I54"/>
    <mergeCell ref="B51:J51"/>
    <mergeCell ref="B123:I123"/>
    <mergeCell ref="B121:J121"/>
    <mergeCell ref="B75:J75"/>
  </mergeCells>
  <hyperlinks>
    <hyperlink ref="B24" r:id="rId1"/>
  </hyperlinks>
  <printOptions horizontalCentered="1"/>
  <pageMargins left="0.23622047244094491" right="0.23622047244094491" top="0.74803149606299213" bottom="0.74803149606299213" header="0.31496062992125984" footer="0.31496062992125984"/>
  <pageSetup paperSize="9" scale="60" fitToHeight="0" orientation="portrait" r:id="rId2"/>
  <rowBreaks count="2" manualBreakCount="2">
    <brk id="75" min="1" max="9" man="1"/>
    <brk id="121" min="1" max="9" man="1"/>
  </rowBreaks>
  <colBreaks count="1" manualBreakCount="1">
    <brk id="1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83" zoomScale="60" zoomScaleNormal="100" workbookViewId="0">
      <selection activeCell="B8" sqref="B8"/>
    </sheetView>
  </sheetViews>
  <sheetFormatPr defaultColWidth="14.42578125" defaultRowHeight="15" customHeight="1" x14ac:dyDescent="0.25"/>
  <cols>
    <col min="1" max="1" width="49.140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8.75" x14ac:dyDescent="0.3">
      <c r="A1" s="354" t="s">
        <v>500</v>
      </c>
      <c r="B1" s="338"/>
      <c r="C1" s="338"/>
      <c r="D1" s="338"/>
      <c r="E1" s="338"/>
      <c r="F1" s="338"/>
      <c r="G1" s="338"/>
      <c r="H1" s="338"/>
    </row>
    <row r="2" spans="1:26" x14ac:dyDescent="0.25">
      <c r="B2" s="153"/>
    </row>
    <row r="3" spans="1:26" ht="18.75" x14ac:dyDescent="0.3">
      <c r="A3" s="394" t="s">
        <v>501</v>
      </c>
      <c r="B3" s="340"/>
    </row>
    <row r="4" spans="1:26" x14ac:dyDescent="0.25">
      <c r="A4" s="238" t="s">
        <v>148</v>
      </c>
      <c r="B4" s="239" t="s">
        <v>159</v>
      </c>
      <c r="C4" s="240"/>
      <c r="D4" s="240"/>
      <c r="E4" s="240"/>
      <c r="F4" s="240"/>
      <c r="G4" s="240"/>
      <c r="H4" s="240"/>
    </row>
    <row r="5" spans="1:26" x14ac:dyDescent="0.25">
      <c r="A5" s="134" t="s">
        <v>502</v>
      </c>
      <c r="B5" s="241">
        <v>290</v>
      </c>
      <c r="C5" s="79"/>
      <c r="D5" s="242"/>
      <c r="E5" s="242"/>
      <c r="F5" s="242"/>
      <c r="G5" s="242"/>
      <c r="H5" s="242"/>
    </row>
    <row r="6" spans="1:26" x14ac:dyDescent="0.25">
      <c r="A6" s="134" t="s">
        <v>503</v>
      </c>
      <c r="B6" s="241">
        <v>200</v>
      </c>
      <c r="C6" s="79"/>
      <c r="D6" s="242"/>
      <c r="E6" s="242"/>
      <c r="F6" s="242"/>
      <c r="G6" s="242"/>
      <c r="H6" s="242"/>
    </row>
    <row r="7" spans="1:26" x14ac:dyDescent="0.25">
      <c r="A7" s="243" t="s">
        <v>88</v>
      </c>
      <c r="B7" s="243">
        <f>B5+B6</f>
        <v>490</v>
      </c>
      <c r="C7" s="158"/>
      <c r="D7" s="244"/>
      <c r="E7" s="244"/>
      <c r="F7" s="244"/>
      <c r="G7" s="244"/>
      <c r="H7" s="244"/>
    </row>
    <row r="8" spans="1:26" x14ac:dyDescent="0.25">
      <c r="A8" s="243" t="s">
        <v>504</v>
      </c>
      <c r="B8" s="245">
        <v>0.5</v>
      </c>
      <c r="C8" s="158"/>
      <c r="D8" s="158"/>
      <c r="E8" s="158"/>
      <c r="F8" s="158"/>
      <c r="G8" s="158"/>
      <c r="H8" s="158"/>
    </row>
    <row r="9" spans="1:26" x14ac:dyDescent="0.25">
      <c r="A9" s="243" t="s">
        <v>505</v>
      </c>
      <c r="B9" s="243">
        <f>B7*B8</f>
        <v>245</v>
      </c>
      <c r="C9" s="244"/>
      <c r="D9" s="244"/>
      <c r="E9" s="244"/>
      <c r="F9" s="244"/>
      <c r="G9" s="244"/>
      <c r="H9" s="244"/>
    </row>
    <row r="10" spans="1:26" x14ac:dyDescent="0.25">
      <c r="J10" t="s">
        <v>506</v>
      </c>
      <c r="O10" t="s">
        <v>321</v>
      </c>
      <c r="U10" t="s">
        <v>16</v>
      </c>
      <c r="Y10" t="s">
        <v>507</v>
      </c>
      <c r="Z10" t="s">
        <v>508</v>
      </c>
    </row>
    <row r="11" spans="1:26" ht="18.75" x14ac:dyDescent="0.3">
      <c r="A11" s="354" t="s">
        <v>509</v>
      </c>
      <c r="B11" s="338"/>
      <c r="C11" s="338"/>
      <c r="D11" s="338"/>
      <c r="E11" s="338"/>
      <c r="F11" s="338"/>
      <c r="G11" s="338"/>
      <c r="H11" s="338"/>
      <c r="I11" s="158"/>
      <c r="J11" s="158"/>
      <c r="K11" s="158"/>
      <c r="L11" s="158"/>
      <c r="M11" s="158"/>
      <c r="N11" s="158"/>
      <c r="O11" s="158"/>
      <c r="P11" s="158"/>
    </row>
    <row r="12" spans="1:26" x14ac:dyDescent="0.25">
      <c r="J12" s="153">
        <v>0.65</v>
      </c>
      <c r="K12" s="246">
        <f t="shared" ref="K12:N12" si="0">J12+0.05</f>
        <v>0.70000000000000007</v>
      </c>
      <c r="L12" s="246">
        <f t="shared" si="0"/>
        <v>0.75000000000000011</v>
      </c>
      <c r="M12" s="246">
        <f t="shared" si="0"/>
        <v>0.80000000000000016</v>
      </c>
      <c r="N12" s="246">
        <f t="shared" si="0"/>
        <v>0.8500000000000002</v>
      </c>
      <c r="O12" s="153">
        <v>0.4</v>
      </c>
      <c r="P12" s="153">
        <f t="shared" ref="P12:T12" si="1">O12+0.05</f>
        <v>0.45</v>
      </c>
      <c r="Q12" s="153">
        <f t="shared" si="1"/>
        <v>0.5</v>
      </c>
      <c r="R12" s="153">
        <f t="shared" si="1"/>
        <v>0.55000000000000004</v>
      </c>
      <c r="S12" s="153">
        <f t="shared" si="1"/>
        <v>0.60000000000000009</v>
      </c>
      <c r="T12" s="153">
        <f t="shared" si="1"/>
        <v>0.65000000000000013</v>
      </c>
      <c r="U12" s="153">
        <v>0.1</v>
      </c>
      <c r="V12" s="208">
        <f t="shared" ref="V12:X12" si="2">U12+0.05</f>
        <v>0.15000000000000002</v>
      </c>
      <c r="W12" s="208">
        <f t="shared" si="2"/>
        <v>0.2</v>
      </c>
      <c r="X12" s="208">
        <f t="shared" si="2"/>
        <v>0.25</v>
      </c>
    </row>
    <row r="13" spans="1:26" ht="45" x14ac:dyDescent="0.25">
      <c r="A13" s="238" t="s">
        <v>510</v>
      </c>
      <c r="B13" s="238" t="s">
        <v>511</v>
      </c>
      <c r="C13" s="247" t="s">
        <v>512</v>
      </c>
      <c r="D13" s="247" t="s">
        <v>513</v>
      </c>
      <c r="E13" s="247" t="s">
        <v>514</v>
      </c>
      <c r="F13" s="247" t="s">
        <v>515</v>
      </c>
      <c r="G13" s="247" t="s">
        <v>516</v>
      </c>
      <c r="H13" s="247" t="s">
        <v>517</v>
      </c>
      <c r="O13" s="248" t="s">
        <v>151</v>
      </c>
      <c r="P13" s="248" t="s">
        <v>152</v>
      </c>
      <c r="Q13" s="248" t="s">
        <v>153</v>
      </c>
      <c r="R13" s="248" t="s">
        <v>154</v>
      </c>
      <c r="S13" s="248" t="s">
        <v>155</v>
      </c>
      <c r="T13" s="248" t="s">
        <v>151</v>
      </c>
      <c r="U13" s="248" t="s">
        <v>152</v>
      </c>
      <c r="V13" s="248" t="s">
        <v>153</v>
      </c>
      <c r="W13" s="248" t="s">
        <v>154</v>
      </c>
      <c r="X13" s="248" t="s">
        <v>155</v>
      </c>
    </row>
    <row r="14" spans="1:26" x14ac:dyDescent="0.25">
      <c r="A14" s="395" t="s">
        <v>518</v>
      </c>
      <c r="B14" s="304" t="s">
        <v>718</v>
      </c>
      <c r="C14" s="249">
        <v>0</v>
      </c>
      <c r="D14" s="134">
        <f t="shared" ref="D14:D22" si="3">$B$9*C14</f>
        <v>0</v>
      </c>
      <c r="E14" s="250">
        <v>30</v>
      </c>
      <c r="F14" s="134">
        <f t="shared" ref="F14:F22" si="4">D14*E14</f>
        <v>0</v>
      </c>
      <c r="G14" s="251">
        <v>0.1</v>
      </c>
      <c r="H14" s="134">
        <f t="shared" ref="H14:H22" si="5">(F14-F14*G14)</f>
        <v>0</v>
      </c>
      <c r="J14">
        <f t="shared" ref="J14:N14" si="6">$D$14*J12</f>
        <v>0</v>
      </c>
      <c r="K14">
        <f t="shared" si="6"/>
        <v>0</v>
      </c>
      <c r="L14">
        <f t="shared" si="6"/>
        <v>0</v>
      </c>
      <c r="M14">
        <f t="shared" si="6"/>
        <v>0</v>
      </c>
      <c r="N14">
        <f t="shared" si="6"/>
        <v>0</v>
      </c>
    </row>
    <row r="15" spans="1:26" x14ac:dyDescent="0.25">
      <c r="A15" s="347"/>
      <c r="B15" s="241" t="s">
        <v>520</v>
      </c>
      <c r="C15" s="249">
        <v>0</v>
      </c>
      <c r="D15" s="134">
        <f t="shared" si="3"/>
        <v>0</v>
      </c>
      <c r="E15" s="250">
        <v>7</v>
      </c>
      <c r="F15" s="134">
        <f t="shared" si="4"/>
        <v>0</v>
      </c>
      <c r="G15" s="251">
        <v>0.05</v>
      </c>
      <c r="H15" s="134">
        <f t="shared" si="5"/>
        <v>0</v>
      </c>
    </row>
    <row r="16" spans="1:26" x14ac:dyDescent="0.25">
      <c r="A16" s="347"/>
      <c r="B16" s="241" t="s">
        <v>521</v>
      </c>
      <c r="C16" s="249">
        <v>0</v>
      </c>
      <c r="D16" s="134">
        <f t="shared" si="3"/>
        <v>0</v>
      </c>
      <c r="E16" s="250">
        <v>4</v>
      </c>
      <c r="F16" s="134">
        <f t="shared" si="4"/>
        <v>0</v>
      </c>
      <c r="G16" s="251">
        <v>0</v>
      </c>
      <c r="H16" s="134">
        <f t="shared" si="5"/>
        <v>0</v>
      </c>
    </row>
    <row r="17" spans="1:8" x14ac:dyDescent="0.25">
      <c r="A17" s="347"/>
      <c r="B17" s="241" t="s">
        <v>522</v>
      </c>
      <c r="C17" s="249">
        <v>0</v>
      </c>
      <c r="D17" s="134">
        <f t="shared" si="3"/>
        <v>0</v>
      </c>
      <c r="E17" s="250">
        <v>7</v>
      </c>
      <c r="F17" s="134">
        <f t="shared" si="4"/>
        <v>0</v>
      </c>
      <c r="G17" s="251">
        <v>0.02</v>
      </c>
      <c r="H17" s="134">
        <f t="shared" si="5"/>
        <v>0</v>
      </c>
    </row>
    <row r="18" spans="1:8" x14ac:dyDescent="0.25">
      <c r="A18" s="347"/>
      <c r="B18" s="241" t="s">
        <v>523</v>
      </c>
      <c r="C18" s="249">
        <v>0</v>
      </c>
      <c r="D18" s="134">
        <f t="shared" si="3"/>
        <v>0</v>
      </c>
      <c r="E18" s="250">
        <v>20</v>
      </c>
      <c r="F18" s="134">
        <f t="shared" si="4"/>
        <v>0</v>
      </c>
      <c r="G18" s="251">
        <v>0</v>
      </c>
      <c r="H18" s="134">
        <f t="shared" si="5"/>
        <v>0</v>
      </c>
    </row>
    <row r="19" spans="1:8" x14ac:dyDescent="0.25">
      <c r="A19" s="347"/>
      <c r="B19" s="241" t="s">
        <v>524</v>
      </c>
      <c r="C19" s="249">
        <v>0</v>
      </c>
      <c r="D19" s="134">
        <f t="shared" si="3"/>
        <v>0</v>
      </c>
      <c r="E19" s="250">
        <v>7</v>
      </c>
      <c r="F19" s="134">
        <f t="shared" si="4"/>
        <v>0</v>
      </c>
      <c r="G19" s="251">
        <v>0.1</v>
      </c>
      <c r="H19" s="134">
        <f t="shared" si="5"/>
        <v>0</v>
      </c>
    </row>
    <row r="20" spans="1:8" x14ac:dyDescent="0.25">
      <c r="A20" s="347"/>
      <c r="B20" s="241" t="s">
        <v>525</v>
      </c>
      <c r="C20" s="249">
        <v>0</v>
      </c>
      <c r="D20" s="134">
        <f t="shared" si="3"/>
        <v>0</v>
      </c>
      <c r="E20" s="250">
        <v>6</v>
      </c>
      <c r="F20" s="134">
        <f t="shared" si="4"/>
        <v>0</v>
      </c>
      <c r="G20" s="251">
        <v>0.02</v>
      </c>
      <c r="H20" s="134">
        <f t="shared" si="5"/>
        <v>0</v>
      </c>
    </row>
    <row r="21" spans="1:8" ht="15.75" customHeight="1" x14ac:dyDescent="0.25">
      <c r="A21" s="347"/>
      <c r="B21" s="241" t="s">
        <v>526</v>
      </c>
      <c r="C21" s="249">
        <v>0</v>
      </c>
      <c r="D21" s="134">
        <f t="shared" si="3"/>
        <v>0</v>
      </c>
      <c r="E21" s="250"/>
      <c r="F21" s="134">
        <f t="shared" si="4"/>
        <v>0</v>
      </c>
      <c r="G21" s="251">
        <v>0</v>
      </c>
      <c r="H21" s="134">
        <f t="shared" si="5"/>
        <v>0</v>
      </c>
    </row>
    <row r="22" spans="1:8" ht="15.75" customHeight="1" x14ac:dyDescent="0.25">
      <c r="A22" s="348"/>
      <c r="B22" s="241" t="s">
        <v>527</v>
      </c>
      <c r="C22" s="249">
        <v>0</v>
      </c>
      <c r="D22" s="134">
        <f t="shared" si="3"/>
        <v>0</v>
      </c>
      <c r="E22" s="250"/>
      <c r="F22" s="134">
        <f t="shared" si="4"/>
        <v>0</v>
      </c>
      <c r="G22" s="251">
        <v>0</v>
      </c>
      <c r="H22" s="134">
        <f t="shared" si="5"/>
        <v>0</v>
      </c>
    </row>
    <row r="23" spans="1:8" ht="15.75" customHeight="1" x14ac:dyDescent="0.25">
      <c r="A23" s="252" t="s">
        <v>528</v>
      </c>
      <c r="B23" s="249">
        <v>0.3</v>
      </c>
      <c r="C23" s="134">
        <f>B9*B23</f>
        <v>73.5</v>
      </c>
      <c r="D23" s="134"/>
      <c r="E23" s="250"/>
      <c r="F23" s="134"/>
      <c r="G23" s="251"/>
      <c r="H23" s="134"/>
    </row>
    <row r="24" spans="1:8" ht="15.75" customHeight="1" x14ac:dyDescent="0.25">
      <c r="A24" s="395" t="s">
        <v>529</v>
      </c>
      <c r="B24" s="241" t="s">
        <v>530</v>
      </c>
      <c r="C24" s="249">
        <v>0</v>
      </c>
      <c r="D24" s="134">
        <f t="shared" ref="D24:D31" si="7">C$23*C24</f>
        <v>0</v>
      </c>
      <c r="E24" s="250">
        <v>10</v>
      </c>
      <c r="F24" s="134">
        <f t="shared" ref="F24:F31" si="8">D24*E24</f>
        <v>0</v>
      </c>
      <c r="G24" s="251">
        <v>0.1</v>
      </c>
      <c r="H24" s="134">
        <f t="shared" ref="H24:H31" si="9">(F24-F24*G24)</f>
        <v>0</v>
      </c>
    </row>
    <row r="25" spans="1:8" ht="15.75" customHeight="1" x14ac:dyDescent="0.25">
      <c r="A25" s="347"/>
      <c r="B25" s="241" t="s">
        <v>531</v>
      </c>
      <c r="C25" s="249">
        <v>0</v>
      </c>
      <c r="D25" s="134">
        <f t="shared" si="7"/>
        <v>0</v>
      </c>
      <c r="E25" s="250">
        <v>10</v>
      </c>
      <c r="F25" s="134">
        <f t="shared" si="8"/>
        <v>0</v>
      </c>
      <c r="G25" s="251">
        <v>0.1</v>
      </c>
      <c r="H25" s="134">
        <f t="shared" si="9"/>
        <v>0</v>
      </c>
    </row>
    <row r="26" spans="1:8" ht="15.75" customHeight="1" x14ac:dyDescent="0.25">
      <c r="A26" s="347"/>
      <c r="B26" s="241" t="s">
        <v>526</v>
      </c>
      <c r="C26" s="249">
        <v>0</v>
      </c>
      <c r="D26" s="134">
        <f t="shared" si="7"/>
        <v>0</v>
      </c>
      <c r="E26" s="250">
        <v>10</v>
      </c>
      <c r="F26" s="134">
        <f t="shared" si="8"/>
        <v>0</v>
      </c>
      <c r="G26" s="251">
        <v>0.05</v>
      </c>
      <c r="H26" s="134">
        <f t="shared" si="9"/>
        <v>0</v>
      </c>
    </row>
    <row r="27" spans="1:8" ht="15.75" customHeight="1" x14ac:dyDescent="0.25">
      <c r="A27" s="347"/>
      <c r="B27" s="241" t="s">
        <v>523</v>
      </c>
      <c r="C27" s="249">
        <v>0</v>
      </c>
      <c r="D27" s="134">
        <f t="shared" si="7"/>
        <v>0</v>
      </c>
      <c r="E27" s="250">
        <v>20</v>
      </c>
      <c r="F27" s="134">
        <f t="shared" si="8"/>
        <v>0</v>
      </c>
      <c r="G27" s="251">
        <v>0</v>
      </c>
      <c r="H27" s="134">
        <f t="shared" si="9"/>
        <v>0</v>
      </c>
    </row>
    <row r="28" spans="1:8" ht="15.75" customHeight="1" x14ac:dyDescent="0.25">
      <c r="A28" s="347"/>
      <c r="B28" s="241" t="s">
        <v>532</v>
      </c>
      <c r="C28" s="249">
        <v>0</v>
      </c>
      <c r="D28" s="134">
        <f t="shared" si="7"/>
        <v>0</v>
      </c>
      <c r="E28" s="250"/>
      <c r="F28" s="134">
        <f t="shared" si="8"/>
        <v>0</v>
      </c>
      <c r="G28" s="251">
        <v>0</v>
      </c>
      <c r="H28" s="134">
        <f t="shared" si="9"/>
        <v>0</v>
      </c>
    </row>
    <row r="29" spans="1:8" ht="15.75" customHeight="1" x14ac:dyDescent="0.25">
      <c r="A29" s="347"/>
      <c r="B29" s="241"/>
      <c r="C29" s="249">
        <v>0</v>
      </c>
      <c r="D29" s="134">
        <f t="shared" si="7"/>
        <v>0</v>
      </c>
      <c r="E29" s="250"/>
      <c r="F29" s="134">
        <f t="shared" si="8"/>
        <v>0</v>
      </c>
      <c r="G29" s="251">
        <v>0</v>
      </c>
      <c r="H29" s="134">
        <f t="shared" si="9"/>
        <v>0</v>
      </c>
    </row>
    <row r="30" spans="1:8" ht="15.75" customHeight="1" x14ac:dyDescent="0.25">
      <c r="A30" s="347"/>
      <c r="B30" s="241"/>
      <c r="C30" s="249">
        <v>0</v>
      </c>
      <c r="D30" s="134">
        <f t="shared" si="7"/>
        <v>0</v>
      </c>
      <c r="E30" s="250"/>
      <c r="F30" s="134">
        <f t="shared" si="8"/>
        <v>0</v>
      </c>
      <c r="G30" s="251">
        <v>0</v>
      </c>
      <c r="H30" s="134">
        <f t="shared" si="9"/>
        <v>0</v>
      </c>
    </row>
    <row r="31" spans="1:8" ht="15.75" customHeight="1" x14ac:dyDescent="0.25">
      <c r="A31" s="348"/>
      <c r="B31" s="241"/>
      <c r="C31" s="249">
        <v>0</v>
      </c>
      <c r="D31" s="134">
        <f t="shared" si="7"/>
        <v>0</v>
      </c>
      <c r="E31" s="250"/>
      <c r="F31" s="134">
        <f t="shared" si="8"/>
        <v>0</v>
      </c>
      <c r="G31" s="251">
        <v>0</v>
      </c>
      <c r="H31" s="134">
        <f t="shared" si="9"/>
        <v>0</v>
      </c>
    </row>
    <row r="32" spans="1:8" ht="15.75" customHeight="1" x14ac:dyDescent="0.25">
      <c r="A32" s="252" t="s">
        <v>533</v>
      </c>
      <c r="B32" s="249">
        <v>1</v>
      </c>
      <c r="C32" s="134">
        <f>B9*B32</f>
        <v>245</v>
      </c>
      <c r="D32" s="134"/>
      <c r="E32" s="250"/>
      <c r="F32" s="134"/>
      <c r="G32" s="251"/>
      <c r="H32" s="134"/>
    </row>
    <row r="33" spans="1:8" ht="15.75" customHeight="1" x14ac:dyDescent="0.25">
      <c r="A33" s="253" t="s">
        <v>534</v>
      </c>
      <c r="B33" s="304" t="s">
        <v>718</v>
      </c>
      <c r="C33" s="249">
        <v>1</v>
      </c>
      <c r="D33" s="134">
        <f t="shared" ref="D33:D36" si="10">C$32*C33</f>
        <v>245</v>
      </c>
      <c r="E33" s="250">
        <v>20</v>
      </c>
      <c r="F33" s="134">
        <f t="shared" ref="F33:F36" si="11">D33*E33</f>
        <v>4900</v>
      </c>
      <c r="G33" s="251">
        <v>0</v>
      </c>
      <c r="H33" s="134">
        <f t="shared" ref="H33:H36" si="12">(F33-F33*G33)</f>
        <v>4900</v>
      </c>
    </row>
    <row r="34" spans="1:8" ht="15.75" customHeight="1" x14ac:dyDescent="0.25">
      <c r="A34" s="8"/>
      <c r="B34" s="241"/>
      <c r="C34" s="249">
        <v>0</v>
      </c>
      <c r="D34" s="134">
        <f t="shared" si="10"/>
        <v>0</v>
      </c>
      <c r="E34" s="250"/>
      <c r="F34" s="134">
        <f t="shared" si="11"/>
        <v>0</v>
      </c>
      <c r="G34" s="251">
        <v>0</v>
      </c>
      <c r="H34" s="134">
        <f t="shared" si="12"/>
        <v>0</v>
      </c>
    </row>
    <row r="35" spans="1:8" ht="15.75" customHeight="1" x14ac:dyDescent="0.25">
      <c r="A35" s="8"/>
      <c r="B35" s="241"/>
      <c r="C35" s="249">
        <v>0</v>
      </c>
      <c r="D35" s="134">
        <f t="shared" si="10"/>
        <v>0</v>
      </c>
      <c r="E35" s="250"/>
      <c r="F35" s="134">
        <f t="shared" si="11"/>
        <v>0</v>
      </c>
      <c r="G35" s="251">
        <v>0</v>
      </c>
      <c r="H35" s="134">
        <f t="shared" si="12"/>
        <v>0</v>
      </c>
    </row>
    <row r="36" spans="1:8" ht="15.75" customHeight="1" x14ac:dyDescent="0.25">
      <c r="A36" s="254"/>
      <c r="B36" s="241"/>
      <c r="C36" s="249">
        <v>0</v>
      </c>
      <c r="D36" s="134">
        <f t="shared" si="10"/>
        <v>0</v>
      </c>
      <c r="E36" s="250"/>
      <c r="F36" s="134">
        <f t="shared" si="11"/>
        <v>0</v>
      </c>
      <c r="G36" s="251">
        <v>0</v>
      </c>
      <c r="H36" s="134">
        <f t="shared" si="12"/>
        <v>0</v>
      </c>
    </row>
    <row r="37" spans="1:8" ht="15.75" customHeight="1" x14ac:dyDescent="0.25">
      <c r="A37" s="360" t="s">
        <v>535</v>
      </c>
      <c r="B37" s="338"/>
      <c r="C37" s="338"/>
      <c r="D37" s="338"/>
      <c r="E37" s="338"/>
      <c r="F37" s="338"/>
      <c r="G37" s="338"/>
      <c r="H37" s="338"/>
    </row>
    <row r="38" spans="1:8" ht="15.75" customHeight="1" x14ac:dyDescent="0.25"/>
    <row r="39" spans="1:8" ht="15.75" customHeight="1" x14ac:dyDescent="0.3">
      <c r="A39" s="396" t="s">
        <v>536</v>
      </c>
      <c r="B39" s="342"/>
      <c r="C39" s="342"/>
      <c r="D39" s="342"/>
      <c r="E39" s="342"/>
      <c r="F39" s="342"/>
      <c r="G39" s="342"/>
      <c r="H39" s="343"/>
    </row>
    <row r="40" spans="1:8" ht="15.75" customHeight="1" x14ac:dyDescent="0.25">
      <c r="A40" s="390" t="s">
        <v>148</v>
      </c>
      <c r="B40" s="255">
        <v>0.2</v>
      </c>
      <c r="C40" s="255">
        <f t="shared" ref="C40:H40" si="13">B40+0.05</f>
        <v>0.25</v>
      </c>
      <c r="D40" s="255">
        <f t="shared" si="13"/>
        <v>0.3</v>
      </c>
      <c r="E40" s="255">
        <f t="shared" si="13"/>
        <v>0.35</v>
      </c>
      <c r="F40" s="255">
        <f t="shared" si="13"/>
        <v>0.39999999999999997</v>
      </c>
      <c r="G40" s="255">
        <f t="shared" si="13"/>
        <v>0.44999999999999996</v>
      </c>
      <c r="H40" s="255">
        <f t="shared" si="13"/>
        <v>0.49999999999999994</v>
      </c>
    </row>
    <row r="41" spans="1:8" ht="15.75" customHeight="1" x14ac:dyDescent="0.25">
      <c r="A41" s="348"/>
      <c r="B41" s="239" t="s">
        <v>151</v>
      </c>
      <c r="C41" s="239" t="s">
        <v>152</v>
      </c>
      <c r="D41" s="239" t="s">
        <v>153</v>
      </c>
      <c r="E41" s="239" t="s">
        <v>154</v>
      </c>
      <c r="F41" s="239" t="s">
        <v>155</v>
      </c>
      <c r="G41" s="239" t="s">
        <v>156</v>
      </c>
      <c r="H41" s="239" t="s">
        <v>157</v>
      </c>
    </row>
    <row r="42" spans="1:8" ht="15.75" customHeight="1" x14ac:dyDescent="0.25">
      <c r="A42" s="134" t="str">
        <f t="shared" ref="A42:A50" si="14">B14</f>
        <v>Turmeric</v>
      </c>
      <c r="B42" s="134">
        <f t="shared" ref="B42:B50" si="15">H14*$B$40</f>
        <v>0</v>
      </c>
      <c r="C42" s="134">
        <f t="shared" ref="C42:H42" si="16">(B42/B$40)*C$40</f>
        <v>0</v>
      </c>
      <c r="D42" s="134">
        <f t="shared" si="16"/>
        <v>0</v>
      </c>
      <c r="E42" s="134">
        <f t="shared" si="16"/>
        <v>0</v>
      </c>
      <c r="F42" s="134">
        <f t="shared" si="16"/>
        <v>0</v>
      </c>
      <c r="G42" s="134">
        <f t="shared" si="16"/>
        <v>0</v>
      </c>
      <c r="H42" s="134">
        <f t="shared" si="16"/>
        <v>0</v>
      </c>
    </row>
    <row r="43" spans="1:8" ht="15.75" customHeight="1" x14ac:dyDescent="0.25">
      <c r="A43" s="134" t="str">
        <f t="shared" si="14"/>
        <v>Red Gram/Tur</v>
      </c>
      <c r="B43" s="134">
        <f t="shared" si="15"/>
        <v>0</v>
      </c>
      <c r="C43" s="134">
        <f t="shared" ref="C43:H43" si="17">(B43/B$40)*C$40</f>
        <v>0</v>
      </c>
      <c r="D43" s="134">
        <f t="shared" si="17"/>
        <v>0</v>
      </c>
      <c r="E43" s="134">
        <f t="shared" si="17"/>
        <v>0</v>
      </c>
      <c r="F43" s="134">
        <f t="shared" si="17"/>
        <v>0</v>
      </c>
      <c r="G43" s="134">
        <f t="shared" si="17"/>
        <v>0</v>
      </c>
      <c r="H43" s="134">
        <f t="shared" si="17"/>
        <v>0</v>
      </c>
    </row>
    <row r="44" spans="1:8" ht="15.75" customHeight="1" x14ac:dyDescent="0.25">
      <c r="A44" s="134" t="str">
        <f t="shared" si="14"/>
        <v>Paddy/Rice</v>
      </c>
      <c r="B44" s="134">
        <f t="shared" si="15"/>
        <v>0</v>
      </c>
      <c r="C44" s="134">
        <f t="shared" ref="C44:H44" si="18">(B44/B$40)*C$40</f>
        <v>0</v>
      </c>
      <c r="D44" s="134">
        <f t="shared" si="18"/>
        <v>0</v>
      </c>
      <c r="E44" s="134">
        <f t="shared" si="18"/>
        <v>0</v>
      </c>
      <c r="F44" s="134">
        <f t="shared" si="18"/>
        <v>0</v>
      </c>
      <c r="G44" s="134">
        <f t="shared" si="18"/>
        <v>0</v>
      </c>
      <c r="H44" s="134">
        <f t="shared" si="18"/>
        <v>0</v>
      </c>
    </row>
    <row r="45" spans="1:8" ht="15.75" customHeight="1" x14ac:dyDescent="0.25">
      <c r="A45" s="134" t="str">
        <f t="shared" si="14"/>
        <v>Green Gram/ Moong</v>
      </c>
      <c r="B45" s="134">
        <f t="shared" si="15"/>
        <v>0</v>
      </c>
      <c r="C45" s="134">
        <f t="shared" ref="C45:H45" si="19">(B45/B$40)*C$40</f>
        <v>0</v>
      </c>
      <c r="D45" s="134">
        <f t="shared" si="19"/>
        <v>0</v>
      </c>
      <c r="E45" s="134">
        <f t="shared" si="19"/>
        <v>0</v>
      </c>
      <c r="F45" s="134">
        <f t="shared" si="19"/>
        <v>0</v>
      </c>
      <c r="G45" s="134">
        <f t="shared" si="19"/>
        <v>0</v>
      </c>
      <c r="H45" s="134">
        <f t="shared" si="19"/>
        <v>0</v>
      </c>
    </row>
    <row r="46" spans="1:8" ht="15.75" customHeight="1" x14ac:dyDescent="0.25">
      <c r="A46" s="134" t="str">
        <f t="shared" si="14"/>
        <v>Maize</v>
      </c>
      <c r="B46" s="134">
        <f t="shared" si="15"/>
        <v>0</v>
      </c>
      <c r="C46" s="134">
        <f t="shared" ref="C46:H46" si="20">(B46/B$40)*C$40</f>
        <v>0</v>
      </c>
      <c r="D46" s="134">
        <f t="shared" si="20"/>
        <v>0</v>
      </c>
      <c r="E46" s="134">
        <f t="shared" si="20"/>
        <v>0</v>
      </c>
      <c r="F46" s="134">
        <f t="shared" si="20"/>
        <v>0</v>
      </c>
      <c r="G46" s="134">
        <f t="shared" si="20"/>
        <v>0</v>
      </c>
      <c r="H46" s="134">
        <f t="shared" si="20"/>
        <v>0</v>
      </c>
    </row>
    <row r="47" spans="1:8" ht="15.75" customHeight="1" x14ac:dyDescent="0.25">
      <c r="A47" s="134" t="str">
        <f t="shared" si="14"/>
        <v>Black Gram/Udid</v>
      </c>
      <c r="B47" s="134">
        <f t="shared" si="15"/>
        <v>0</v>
      </c>
      <c r="C47" s="134">
        <f t="shared" ref="C47:H47" si="21">(B47/B$40)*C$40</f>
        <v>0</v>
      </c>
      <c r="D47" s="134">
        <f t="shared" si="21"/>
        <v>0</v>
      </c>
      <c r="E47" s="134">
        <f t="shared" si="21"/>
        <v>0</v>
      </c>
      <c r="F47" s="134">
        <f t="shared" si="21"/>
        <v>0</v>
      </c>
      <c r="G47" s="134">
        <f t="shared" si="21"/>
        <v>0</v>
      </c>
      <c r="H47" s="134">
        <f t="shared" si="21"/>
        <v>0</v>
      </c>
    </row>
    <row r="48" spans="1:8" ht="15.75" customHeight="1" x14ac:dyDescent="0.25">
      <c r="A48" s="134" t="str">
        <f t="shared" si="14"/>
        <v>Bajra</v>
      </c>
      <c r="B48" s="134">
        <f t="shared" si="15"/>
        <v>0</v>
      </c>
      <c r="C48" s="134">
        <f t="shared" ref="C48:H48" si="22">(B48/B$40)*C$40</f>
        <v>0</v>
      </c>
      <c r="D48" s="134">
        <f t="shared" si="22"/>
        <v>0</v>
      </c>
      <c r="E48" s="134">
        <f t="shared" si="22"/>
        <v>0</v>
      </c>
      <c r="F48" s="134">
        <f t="shared" si="22"/>
        <v>0</v>
      </c>
      <c r="G48" s="134">
        <f t="shared" si="22"/>
        <v>0</v>
      </c>
      <c r="H48" s="134">
        <f t="shared" si="22"/>
        <v>0</v>
      </c>
    </row>
    <row r="49" spans="1:8" ht="15.75" customHeight="1" x14ac:dyDescent="0.25">
      <c r="A49" s="134" t="str">
        <f t="shared" si="14"/>
        <v>Jawar</v>
      </c>
      <c r="B49" s="134">
        <f t="shared" si="15"/>
        <v>0</v>
      </c>
      <c r="C49" s="134">
        <f t="shared" ref="C49:H49" si="23">(B49/B$40)*C$40</f>
        <v>0</v>
      </c>
      <c r="D49" s="134">
        <f t="shared" si="23"/>
        <v>0</v>
      </c>
      <c r="E49" s="134">
        <f t="shared" si="23"/>
        <v>0</v>
      </c>
      <c r="F49" s="134">
        <f t="shared" si="23"/>
        <v>0</v>
      </c>
      <c r="G49" s="134">
        <f t="shared" si="23"/>
        <v>0</v>
      </c>
      <c r="H49" s="134">
        <f t="shared" si="23"/>
        <v>0</v>
      </c>
    </row>
    <row r="50" spans="1:8" ht="15.75" customHeight="1" x14ac:dyDescent="0.25">
      <c r="A50" s="134" t="str">
        <f t="shared" si="14"/>
        <v>Sunflower</v>
      </c>
      <c r="B50" s="134">
        <f t="shared" si="15"/>
        <v>0</v>
      </c>
      <c r="C50" s="134">
        <f t="shared" ref="C50:H50" si="24">(B50/B$40)*C$40</f>
        <v>0</v>
      </c>
      <c r="D50" s="134">
        <f t="shared" si="24"/>
        <v>0</v>
      </c>
      <c r="E50" s="134">
        <f t="shared" si="24"/>
        <v>0</v>
      </c>
      <c r="F50" s="134">
        <f t="shared" si="24"/>
        <v>0</v>
      </c>
      <c r="G50" s="134">
        <f t="shared" si="24"/>
        <v>0</v>
      </c>
      <c r="H50" s="134">
        <f t="shared" si="24"/>
        <v>0</v>
      </c>
    </row>
    <row r="51" spans="1:8" ht="15.75" customHeight="1" x14ac:dyDescent="0.25">
      <c r="A51" s="134" t="str">
        <f t="shared" ref="A51:A58" si="25">B24</f>
        <v>Wheat</v>
      </c>
      <c r="B51" s="134">
        <f t="shared" ref="B51:B58" si="26">H24*$B$40</f>
        <v>0</v>
      </c>
      <c r="C51" s="134">
        <f t="shared" ref="C51:H51" si="27">(B51/B$40)*C$40</f>
        <v>0</v>
      </c>
      <c r="D51" s="134">
        <f t="shared" si="27"/>
        <v>0</v>
      </c>
      <c r="E51" s="134">
        <f t="shared" si="27"/>
        <v>0</v>
      </c>
      <c r="F51" s="134">
        <f t="shared" si="27"/>
        <v>0</v>
      </c>
      <c r="G51" s="134">
        <f t="shared" si="27"/>
        <v>0</v>
      </c>
      <c r="H51" s="134">
        <f t="shared" si="27"/>
        <v>0</v>
      </c>
    </row>
    <row r="52" spans="1:8" ht="15.75" customHeight="1" x14ac:dyDescent="0.25">
      <c r="A52" s="134" t="str">
        <f t="shared" si="25"/>
        <v>Bengal Gram/Channa</v>
      </c>
      <c r="B52" s="134">
        <f t="shared" si="26"/>
        <v>0</v>
      </c>
      <c r="C52" s="134">
        <f t="shared" ref="C52:H52" si="28">(B52/B$40)*C$40</f>
        <v>0</v>
      </c>
      <c r="D52" s="134">
        <f t="shared" si="28"/>
        <v>0</v>
      </c>
      <c r="E52" s="134">
        <f t="shared" si="28"/>
        <v>0</v>
      </c>
      <c r="F52" s="134">
        <f t="shared" si="28"/>
        <v>0</v>
      </c>
      <c r="G52" s="134">
        <f t="shared" si="28"/>
        <v>0</v>
      </c>
      <c r="H52" s="134">
        <f t="shared" si="28"/>
        <v>0</v>
      </c>
    </row>
    <row r="53" spans="1:8" ht="15.75" customHeight="1" x14ac:dyDescent="0.25">
      <c r="A53" s="134" t="str">
        <f t="shared" si="25"/>
        <v>Jawar</v>
      </c>
      <c r="B53" s="134">
        <f t="shared" si="26"/>
        <v>0</v>
      </c>
      <c r="C53" s="134">
        <f t="shared" ref="C53:H53" si="29">(B53/B$40)*C$40</f>
        <v>0</v>
      </c>
      <c r="D53" s="134">
        <f t="shared" si="29"/>
        <v>0</v>
      </c>
      <c r="E53" s="134">
        <f t="shared" si="29"/>
        <v>0</v>
      </c>
      <c r="F53" s="134">
        <f t="shared" si="29"/>
        <v>0</v>
      </c>
      <c r="G53" s="134">
        <f t="shared" si="29"/>
        <v>0</v>
      </c>
      <c r="H53" s="134">
        <f t="shared" si="29"/>
        <v>0</v>
      </c>
    </row>
    <row r="54" spans="1:8" ht="15.75" customHeight="1" x14ac:dyDescent="0.25">
      <c r="A54" s="134" t="str">
        <f t="shared" si="25"/>
        <v>Maize</v>
      </c>
      <c r="B54" s="134">
        <f t="shared" si="26"/>
        <v>0</v>
      </c>
      <c r="C54" s="134">
        <f t="shared" ref="C54:H54" si="30">(B54/B$40)*C$40</f>
        <v>0</v>
      </c>
      <c r="D54" s="134">
        <f t="shared" si="30"/>
        <v>0</v>
      </c>
      <c r="E54" s="134">
        <f t="shared" si="30"/>
        <v>0</v>
      </c>
      <c r="F54" s="134">
        <f t="shared" si="30"/>
        <v>0</v>
      </c>
      <c r="G54" s="134">
        <f t="shared" si="30"/>
        <v>0</v>
      </c>
      <c r="H54" s="134">
        <f t="shared" si="30"/>
        <v>0</v>
      </c>
    </row>
    <row r="55" spans="1:8" ht="15.75" customHeight="1" x14ac:dyDescent="0.25">
      <c r="A55" s="134" t="str">
        <f t="shared" si="25"/>
        <v>Safflower</v>
      </c>
      <c r="B55" s="134">
        <f t="shared" si="26"/>
        <v>0</v>
      </c>
      <c r="C55" s="134">
        <f t="shared" ref="C55:H55" si="31">(B55/B$40)*C$40</f>
        <v>0</v>
      </c>
      <c r="D55" s="134">
        <f t="shared" si="31"/>
        <v>0</v>
      </c>
      <c r="E55" s="134">
        <f t="shared" si="31"/>
        <v>0</v>
      </c>
      <c r="F55" s="134">
        <f t="shared" si="31"/>
        <v>0</v>
      </c>
      <c r="G55" s="134">
        <f t="shared" si="31"/>
        <v>0</v>
      </c>
      <c r="H55" s="134">
        <f t="shared" si="31"/>
        <v>0</v>
      </c>
    </row>
    <row r="56" spans="1:8" ht="15.75" customHeight="1" x14ac:dyDescent="0.25">
      <c r="A56" s="134">
        <f t="shared" si="25"/>
        <v>0</v>
      </c>
      <c r="B56" s="134">
        <f t="shared" si="26"/>
        <v>0</v>
      </c>
      <c r="C56" s="134">
        <f t="shared" ref="C56:H56" si="32">(B56/B$40)*C$40</f>
        <v>0</v>
      </c>
      <c r="D56" s="134">
        <f t="shared" si="32"/>
        <v>0</v>
      </c>
      <c r="E56" s="134">
        <f t="shared" si="32"/>
        <v>0</v>
      </c>
      <c r="F56" s="134">
        <f t="shared" si="32"/>
        <v>0</v>
      </c>
      <c r="G56" s="134">
        <f t="shared" si="32"/>
        <v>0</v>
      </c>
      <c r="H56" s="134">
        <f t="shared" si="32"/>
        <v>0</v>
      </c>
    </row>
    <row r="57" spans="1:8" ht="15.75" customHeight="1" x14ac:dyDescent="0.25">
      <c r="A57" s="134">
        <f t="shared" si="25"/>
        <v>0</v>
      </c>
      <c r="B57" s="134">
        <f t="shared" si="26"/>
        <v>0</v>
      </c>
      <c r="C57" s="134">
        <f t="shared" ref="C57:H57" si="33">(B57/B$40)*C$40</f>
        <v>0</v>
      </c>
      <c r="D57" s="134">
        <f t="shared" si="33"/>
        <v>0</v>
      </c>
      <c r="E57" s="134">
        <f t="shared" si="33"/>
        <v>0</v>
      </c>
      <c r="F57" s="134">
        <f t="shared" si="33"/>
        <v>0</v>
      </c>
      <c r="G57" s="134">
        <f t="shared" si="33"/>
        <v>0</v>
      </c>
      <c r="H57" s="134">
        <f t="shared" si="33"/>
        <v>0</v>
      </c>
    </row>
    <row r="58" spans="1:8" ht="15.75" customHeight="1" x14ac:dyDescent="0.25">
      <c r="A58" s="134">
        <f t="shared" si="25"/>
        <v>0</v>
      </c>
      <c r="B58" s="134">
        <f t="shared" si="26"/>
        <v>0</v>
      </c>
      <c r="C58" s="134">
        <f t="shared" ref="C58:H58" si="34">(B58/B$40)*C$40</f>
        <v>0</v>
      </c>
      <c r="D58" s="134">
        <f t="shared" si="34"/>
        <v>0</v>
      </c>
      <c r="E58" s="134">
        <f t="shared" si="34"/>
        <v>0</v>
      </c>
      <c r="F58" s="134">
        <f t="shared" si="34"/>
        <v>0</v>
      </c>
      <c r="G58" s="134">
        <f t="shared" si="34"/>
        <v>0</v>
      </c>
      <c r="H58" s="134">
        <f t="shared" si="34"/>
        <v>0</v>
      </c>
    </row>
    <row r="59" spans="1:8" ht="15.75" customHeight="1" x14ac:dyDescent="0.25">
      <c r="A59" s="134" t="str">
        <f t="shared" ref="A59:A62" si="35">B33</f>
        <v>Turmeric</v>
      </c>
      <c r="B59" s="134">
        <f t="shared" ref="B59:B62" si="36">H33*$B$40</f>
        <v>980</v>
      </c>
      <c r="C59" s="134">
        <f t="shared" ref="C59:H59" si="37">(B59/B$40)*C$40</f>
        <v>1225</v>
      </c>
      <c r="D59" s="134">
        <f t="shared" si="37"/>
        <v>1470</v>
      </c>
      <c r="E59" s="134">
        <f t="shared" si="37"/>
        <v>1715</v>
      </c>
      <c r="F59" s="134">
        <f t="shared" si="37"/>
        <v>1959.9999999999998</v>
      </c>
      <c r="G59" s="134">
        <f t="shared" si="37"/>
        <v>2205</v>
      </c>
      <c r="H59" s="134">
        <f t="shared" si="37"/>
        <v>2450</v>
      </c>
    </row>
    <row r="60" spans="1:8" ht="15.75" customHeight="1" x14ac:dyDescent="0.25">
      <c r="A60" s="134">
        <f t="shared" si="35"/>
        <v>0</v>
      </c>
      <c r="B60" s="134">
        <f t="shared" si="36"/>
        <v>0</v>
      </c>
      <c r="C60" s="134">
        <f t="shared" ref="C60:H60" si="38">(B60/B$40)*C$40</f>
        <v>0</v>
      </c>
      <c r="D60" s="134">
        <f t="shared" si="38"/>
        <v>0</v>
      </c>
      <c r="E60" s="134">
        <f t="shared" si="38"/>
        <v>0</v>
      </c>
      <c r="F60" s="134">
        <f t="shared" si="38"/>
        <v>0</v>
      </c>
      <c r="G60" s="134">
        <f t="shared" si="38"/>
        <v>0</v>
      </c>
      <c r="H60" s="134">
        <f t="shared" si="38"/>
        <v>0</v>
      </c>
    </row>
    <row r="61" spans="1:8" ht="15.75" customHeight="1" x14ac:dyDescent="0.25">
      <c r="A61" s="134">
        <f t="shared" si="35"/>
        <v>0</v>
      </c>
      <c r="B61" s="134">
        <f t="shared" si="36"/>
        <v>0</v>
      </c>
      <c r="C61" s="134">
        <f t="shared" ref="C61:H61" si="39">(B61/B$40)*C$40</f>
        <v>0</v>
      </c>
      <c r="D61" s="134">
        <f t="shared" si="39"/>
        <v>0</v>
      </c>
      <c r="E61" s="134">
        <f t="shared" si="39"/>
        <v>0</v>
      </c>
      <c r="F61" s="134">
        <f t="shared" si="39"/>
        <v>0</v>
      </c>
      <c r="G61" s="134">
        <f t="shared" si="39"/>
        <v>0</v>
      </c>
      <c r="H61" s="134">
        <f t="shared" si="39"/>
        <v>0</v>
      </c>
    </row>
    <row r="62" spans="1:8" ht="15.75" customHeight="1" x14ac:dyDescent="0.25">
      <c r="A62" s="134">
        <f t="shared" si="35"/>
        <v>0</v>
      </c>
      <c r="B62" s="134">
        <f t="shared" si="36"/>
        <v>0</v>
      </c>
      <c r="C62" s="134">
        <f t="shared" ref="C62:H62" si="40">(B62/B$40)*C$40</f>
        <v>0</v>
      </c>
      <c r="D62" s="134">
        <f t="shared" si="40"/>
        <v>0</v>
      </c>
      <c r="E62" s="134">
        <f t="shared" si="40"/>
        <v>0</v>
      </c>
      <c r="F62" s="134">
        <f t="shared" si="40"/>
        <v>0</v>
      </c>
      <c r="G62" s="134">
        <f t="shared" si="40"/>
        <v>0</v>
      </c>
      <c r="H62" s="134">
        <f t="shared" si="40"/>
        <v>0</v>
      </c>
    </row>
    <row r="63" spans="1:8" ht="15.75" customHeight="1" x14ac:dyDescent="0.25"/>
    <row r="64" spans="1:8" ht="15.75" customHeight="1" x14ac:dyDescent="0.3">
      <c r="A64" s="391" t="s">
        <v>537</v>
      </c>
      <c r="B64" s="342"/>
      <c r="C64" s="342"/>
      <c r="D64" s="342"/>
      <c r="E64" s="342"/>
      <c r="F64" s="342"/>
      <c r="G64" s="342"/>
      <c r="H64" s="343"/>
    </row>
    <row r="65" spans="1:26" ht="15.75" customHeight="1" x14ac:dyDescent="0.25">
      <c r="A65" s="397" t="s">
        <v>148</v>
      </c>
      <c r="B65" s="256">
        <v>0.5</v>
      </c>
      <c r="C65" s="256">
        <f t="shared" ref="C65:H65" si="41">B65+0.05</f>
        <v>0.55000000000000004</v>
      </c>
      <c r="D65" s="256">
        <f t="shared" si="41"/>
        <v>0.60000000000000009</v>
      </c>
      <c r="E65" s="256">
        <f t="shared" si="41"/>
        <v>0.65000000000000013</v>
      </c>
      <c r="F65" s="256">
        <f t="shared" si="41"/>
        <v>0.70000000000000018</v>
      </c>
      <c r="G65" s="256">
        <f t="shared" si="41"/>
        <v>0.75000000000000022</v>
      </c>
      <c r="H65" s="256">
        <f t="shared" si="41"/>
        <v>0.80000000000000027</v>
      </c>
    </row>
    <row r="66" spans="1:26" ht="15.75" customHeight="1" x14ac:dyDescent="0.25">
      <c r="A66" s="348"/>
      <c r="B66" s="239" t="s">
        <v>151</v>
      </c>
      <c r="C66" s="239" t="s">
        <v>152</v>
      </c>
      <c r="D66" s="239" t="s">
        <v>153</v>
      </c>
      <c r="E66" s="239" t="s">
        <v>154</v>
      </c>
      <c r="F66" s="239" t="s">
        <v>155</v>
      </c>
      <c r="G66" s="239" t="s">
        <v>156</v>
      </c>
      <c r="H66" s="239" t="s">
        <v>157</v>
      </c>
    </row>
    <row r="67" spans="1:26" ht="15.75" customHeight="1" x14ac:dyDescent="0.25">
      <c r="A67" s="134" t="str">
        <f t="shared" ref="A67:A87" si="42">A42</f>
        <v>Turmeric</v>
      </c>
      <c r="B67" s="134">
        <f>H14*$B$65</f>
        <v>0</v>
      </c>
      <c r="C67" s="134">
        <f t="shared" ref="C67:H67" si="43">(B67/B$65)*C$65</f>
        <v>0</v>
      </c>
      <c r="D67" s="134">
        <f t="shared" si="43"/>
        <v>0</v>
      </c>
      <c r="E67" s="134">
        <f t="shared" si="43"/>
        <v>0</v>
      </c>
      <c r="F67" s="134">
        <f t="shared" si="43"/>
        <v>0</v>
      </c>
      <c r="G67" s="134">
        <f t="shared" si="43"/>
        <v>0</v>
      </c>
      <c r="H67" s="134">
        <f t="shared" si="43"/>
        <v>0</v>
      </c>
      <c r="I67" s="79"/>
      <c r="J67" s="79"/>
      <c r="K67" s="79"/>
      <c r="L67" s="79"/>
      <c r="M67" s="79"/>
      <c r="N67" s="79"/>
      <c r="O67" s="79"/>
      <c r="P67" s="79"/>
      <c r="Q67" s="79"/>
      <c r="R67" s="79"/>
      <c r="S67" s="79"/>
      <c r="T67" s="79"/>
      <c r="U67" s="79"/>
      <c r="V67" s="79"/>
      <c r="W67" s="79"/>
      <c r="X67" s="79"/>
      <c r="Y67" s="79"/>
      <c r="Z67" s="79"/>
    </row>
    <row r="68" spans="1:26" ht="15.75" customHeight="1" x14ac:dyDescent="0.25">
      <c r="A68" s="134" t="str">
        <f t="shared" si="42"/>
        <v>Red Gram/Tur</v>
      </c>
      <c r="B68" s="134">
        <f t="shared" ref="B68:B75" si="44">H15*$B$65</f>
        <v>0</v>
      </c>
      <c r="C68" s="134">
        <f t="shared" ref="C68:H68" si="45">(B68/B$65)*C$65</f>
        <v>0</v>
      </c>
      <c r="D68" s="134">
        <f t="shared" si="45"/>
        <v>0</v>
      </c>
      <c r="E68" s="134">
        <f t="shared" si="45"/>
        <v>0</v>
      </c>
      <c r="F68" s="134">
        <f t="shared" si="45"/>
        <v>0</v>
      </c>
      <c r="G68" s="134">
        <f t="shared" si="45"/>
        <v>0</v>
      </c>
      <c r="H68" s="134">
        <f t="shared" si="45"/>
        <v>0</v>
      </c>
    </row>
    <row r="69" spans="1:26" ht="15.75" customHeight="1" x14ac:dyDescent="0.25">
      <c r="A69" s="134" t="str">
        <f t="shared" si="42"/>
        <v>Paddy/Rice</v>
      </c>
      <c r="B69" s="134">
        <f t="shared" si="44"/>
        <v>0</v>
      </c>
      <c r="C69" s="134">
        <f t="shared" ref="C69:H69" si="46">(B69/B$65)*C$65</f>
        <v>0</v>
      </c>
      <c r="D69" s="134">
        <f t="shared" si="46"/>
        <v>0</v>
      </c>
      <c r="E69" s="134">
        <f t="shared" si="46"/>
        <v>0</v>
      </c>
      <c r="F69" s="134">
        <f t="shared" si="46"/>
        <v>0</v>
      </c>
      <c r="G69" s="134">
        <f t="shared" si="46"/>
        <v>0</v>
      </c>
      <c r="H69" s="134">
        <f t="shared" si="46"/>
        <v>0</v>
      </c>
    </row>
    <row r="70" spans="1:26" ht="15.75" customHeight="1" x14ac:dyDescent="0.25">
      <c r="A70" s="134" t="str">
        <f t="shared" si="42"/>
        <v>Green Gram/ Moong</v>
      </c>
      <c r="B70" s="134">
        <f t="shared" si="44"/>
        <v>0</v>
      </c>
      <c r="C70" s="134">
        <f t="shared" ref="C70:H70" si="47">(B70/B$65)*C$65</f>
        <v>0</v>
      </c>
      <c r="D70" s="134">
        <f t="shared" si="47"/>
        <v>0</v>
      </c>
      <c r="E70" s="134">
        <f t="shared" si="47"/>
        <v>0</v>
      </c>
      <c r="F70" s="134">
        <f t="shared" si="47"/>
        <v>0</v>
      </c>
      <c r="G70" s="134">
        <f t="shared" si="47"/>
        <v>0</v>
      </c>
      <c r="H70" s="134">
        <f t="shared" si="47"/>
        <v>0</v>
      </c>
    </row>
    <row r="71" spans="1:26" ht="15.75" customHeight="1" x14ac:dyDescent="0.25">
      <c r="A71" s="134" t="str">
        <f t="shared" si="42"/>
        <v>Maize</v>
      </c>
      <c r="B71" s="134">
        <f t="shared" si="44"/>
        <v>0</v>
      </c>
      <c r="C71" s="134">
        <f t="shared" ref="C71:H71" si="48">(B71/B$65)*C$65</f>
        <v>0</v>
      </c>
      <c r="D71" s="134">
        <f t="shared" si="48"/>
        <v>0</v>
      </c>
      <c r="E71" s="134">
        <f t="shared" si="48"/>
        <v>0</v>
      </c>
      <c r="F71" s="134">
        <f t="shared" si="48"/>
        <v>0</v>
      </c>
      <c r="G71" s="134">
        <f t="shared" si="48"/>
        <v>0</v>
      </c>
      <c r="H71" s="134">
        <f t="shared" si="48"/>
        <v>0</v>
      </c>
    </row>
    <row r="72" spans="1:26" ht="15.75" customHeight="1" x14ac:dyDescent="0.25">
      <c r="A72" s="134" t="str">
        <f t="shared" si="42"/>
        <v>Black Gram/Udid</v>
      </c>
      <c r="B72" s="134">
        <f t="shared" si="44"/>
        <v>0</v>
      </c>
      <c r="C72" s="134">
        <f t="shared" ref="C72:H72" si="49">(B72/B$65)*C$65</f>
        <v>0</v>
      </c>
      <c r="D72" s="134">
        <f t="shared" si="49"/>
        <v>0</v>
      </c>
      <c r="E72" s="134">
        <f t="shared" si="49"/>
        <v>0</v>
      </c>
      <c r="F72" s="134">
        <f t="shared" si="49"/>
        <v>0</v>
      </c>
      <c r="G72" s="134">
        <f t="shared" si="49"/>
        <v>0</v>
      </c>
      <c r="H72" s="134">
        <f t="shared" si="49"/>
        <v>0</v>
      </c>
    </row>
    <row r="73" spans="1:26" ht="15.75" customHeight="1" x14ac:dyDescent="0.25">
      <c r="A73" s="134" t="str">
        <f t="shared" si="42"/>
        <v>Bajra</v>
      </c>
      <c r="B73" s="134">
        <f t="shared" si="44"/>
        <v>0</v>
      </c>
      <c r="C73" s="134">
        <f t="shared" ref="C73:H73" si="50">(B73/B$65)*C$65</f>
        <v>0</v>
      </c>
      <c r="D73" s="134">
        <f t="shared" si="50"/>
        <v>0</v>
      </c>
      <c r="E73" s="134">
        <f t="shared" si="50"/>
        <v>0</v>
      </c>
      <c r="F73" s="134">
        <f t="shared" si="50"/>
        <v>0</v>
      </c>
      <c r="G73" s="134">
        <f t="shared" si="50"/>
        <v>0</v>
      </c>
      <c r="H73" s="134">
        <f t="shared" si="50"/>
        <v>0</v>
      </c>
    </row>
    <row r="74" spans="1:26" ht="15.75" customHeight="1" x14ac:dyDescent="0.25">
      <c r="A74" s="134" t="str">
        <f t="shared" si="42"/>
        <v>Jawar</v>
      </c>
      <c r="B74" s="134">
        <f t="shared" si="44"/>
        <v>0</v>
      </c>
      <c r="C74" s="134">
        <f t="shared" ref="C74:H74" si="51">(B74/B$65)*C$65</f>
        <v>0</v>
      </c>
      <c r="D74" s="134">
        <f t="shared" si="51"/>
        <v>0</v>
      </c>
      <c r="E74" s="134">
        <f t="shared" si="51"/>
        <v>0</v>
      </c>
      <c r="F74" s="134">
        <f t="shared" si="51"/>
        <v>0</v>
      </c>
      <c r="G74" s="134">
        <f t="shared" si="51"/>
        <v>0</v>
      </c>
      <c r="H74" s="134">
        <f t="shared" si="51"/>
        <v>0</v>
      </c>
    </row>
    <row r="75" spans="1:26" ht="15.75" customHeight="1" x14ac:dyDescent="0.25">
      <c r="A75" s="134" t="str">
        <f t="shared" si="42"/>
        <v>Sunflower</v>
      </c>
      <c r="B75" s="134">
        <f t="shared" si="44"/>
        <v>0</v>
      </c>
      <c r="C75" s="134">
        <f t="shared" ref="C75:H75" si="52">(B75/B$65)*C$65</f>
        <v>0</v>
      </c>
      <c r="D75" s="134">
        <f t="shared" si="52"/>
        <v>0</v>
      </c>
      <c r="E75" s="134">
        <f t="shared" si="52"/>
        <v>0</v>
      </c>
      <c r="F75" s="134">
        <f t="shared" si="52"/>
        <v>0</v>
      </c>
      <c r="G75" s="134">
        <f t="shared" si="52"/>
        <v>0</v>
      </c>
      <c r="H75" s="134">
        <f t="shared" si="52"/>
        <v>0</v>
      </c>
    </row>
    <row r="76" spans="1:26" ht="15.75" customHeight="1" x14ac:dyDescent="0.25">
      <c r="A76" s="134" t="str">
        <f t="shared" si="42"/>
        <v>Wheat</v>
      </c>
      <c r="B76" s="134">
        <f t="shared" ref="B76:B83" si="53">H24*$B$65</f>
        <v>0</v>
      </c>
      <c r="C76" s="134">
        <f t="shared" ref="C76:H76" si="54">(B76/B$65)*C$65</f>
        <v>0</v>
      </c>
      <c r="D76" s="134">
        <f t="shared" si="54"/>
        <v>0</v>
      </c>
      <c r="E76" s="134">
        <f t="shared" si="54"/>
        <v>0</v>
      </c>
      <c r="F76" s="134">
        <f t="shared" si="54"/>
        <v>0</v>
      </c>
      <c r="G76" s="134">
        <f t="shared" si="54"/>
        <v>0</v>
      </c>
      <c r="H76" s="134">
        <f t="shared" si="54"/>
        <v>0</v>
      </c>
    </row>
    <row r="77" spans="1:26" ht="15.75" customHeight="1" x14ac:dyDescent="0.25">
      <c r="A77" s="134" t="str">
        <f t="shared" si="42"/>
        <v>Bengal Gram/Channa</v>
      </c>
      <c r="B77" s="134">
        <f t="shared" si="53"/>
        <v>0</v>
      </c>
      <c r="C77" s="134">
        <f t="shared" ref="C77:H77" si="55">(B77/B$65)*C$65</f>
        <v>0</v>
      </c>
      <c r="D77" s="134">
        <f t="shared" si="55"/>
        <v>0</v>
      </c>
      <c r="E77" s="134">
        <f t="shared" si="55"/>
        <v>0</v>
      </c>
      <c r="F77" s="134">
        <f t="shared" si="55"/>
        <v>0</v>
      </c>
      <c r="G77" s="134">
        <f t="shared" si="55"/>
        <v>0</v>
      </c>
      <c r="H77" s="134">
        <f t="shared" si="55"/>
        <v>0</v>
      </c>
    </row>
    <row r="78" spans="1:26" ht="15.75" customHeight="1" x14ac:dyDescent="0.25">
      <c r="A78" s="134" t="str">
        <f t="shared" si="42"/>
        <v>Jawar</v>
      </c>
      <c r="B78" s="134">
        <f t="shared" si="53"/>
        <v>0</v>
      </c>
      <c r="C78" s="134">
        <f t="shared" ref="C78:H78" si="56">(B78/B$65)*C$65</f>
        <v>0</v>
      </c>
      <c r="D78" s="134">
        <f t="shared" si="56"/>
        <v>0</v>
      </c>
      <c r="E78" s="134">
        <f t="shared" si="56"/>
        <v>0</v>
      </c>
      <c r="F78" s="134">
        <f t="shared" si="56"/>
        <v>0</v>
      </c>
      <c r="G78" s="134">
        <f t="shared" si="56"/>
        <v>0</v>
      </c>
      <c r="H78" s="134">
        <f t="shared" si="56"/>
        <v>0</v>
      </c>
    </row>
    <row r="79" spans="1:26" ht="15.75" customHeight="1" x14ac:dyDescent="0.25">
      <c r="A79" s="134" t="str">
        <f t="shared" si="42"/>
        <v>Maize</v>
      </c>
      <c r="B79" s="134">
        <f t="shared" si="53"/>
        <v>0</v>
      </c>
      <c r="C79" s="134">
        <f t="shared" ref="C79:H79" si="57">(B79/B$65)*C$65</f>
        <v>0</v>
      </c>
      <c r="D79" s="134">
        <f t="shared" si="57"/>
        <v>0</v>
      </c>
      <c r="E79" s="134">
        <f t="shared" si="57"/>
        <v>0</v>
      </c>
      <c r="F79" s="134">
        <f t="shared" si="57"/>
        <v>0</v>
      </c>
      <c r="G79" s="134">
        <f t="shared" si="57"/>
        <v>0</v>
      </c>
      <c r="H79" s="134">
        <f t="shared" si="57"/>
        <v>0</v>
      </c>
    </row>
    <row r="80" spans="1:26" ht="15.75" customHeight="1" x14ac:dyDescent="0.25">
      <c r="A80" s="134" t="str">
        <f t="shared" si="42"/>
        <v>Safflower</v>
      </c>
      <c r="B80" s="134">
        <f t="shared" si="53"/>
        <v>0</v>
      </c>
      <c r="C80" s="134">
        <f t="shared" ref="C80:H80" si="58">(B80/B$65)*C$65</f>
        <v>0</v>
      </c>
      <c r="D80" s="134">
        <f t="shared" si="58"/>
        <v>0</v>
      </c>
      <c r="E80" s="134">
        <f t="shared" si="58"/>
        <v>0</v>
      </c>
      <c r="F80" s="134">
        <f t="shared" si="58"/>
        <v>0</v>
      </c>
      <c r="G80" s="134">
        <f t="shared" si="58"/>
        <v>0</v>
      </c>
      <c r="H80" s="134">
        <f t="shared" si="58"/>
        <v>0</v>
      </c>
    </row>
    <row r="81" spans="1:26" ht="15.75" customHeight="1" x14ac:dyDescent="0.25">
      <c r="A81" s="134">
        <f t="shared" si="42"/>
        <v>0</v>
      </c>
      <c r="B81" s="134">
        <f t="shared" si="53"/>
        <v>0</v>
      </c>
      <c r="C81" s="134">
        <f t="shared" ref="C81:H81" si="59">(B81/B$65)*C$65</f>
        <v>0</v>
      </c>
      <c r="D81" s="134">
        <f t="shared" si="59"/>
        <v>0</v>
      </c>
      <c r="E81" s="134">
        <f t="shared" si="59"/>
        <v>0</v>
      </c>
      <c r="F81" s="134">
        <f t="shared" si="59"/>
        <v>0</v>
      </c>
      <c r="G81" s="134">
        <f t="shared" si="59"/>
        <v>0</v>
      </c>
      <c r="H81" s="134">
        <f t="shared" si="59"/>
        <v>0</v>
      </c>
    </row>
    <row r="82" spans="1:26" ht="15.75" customHeight="1" x14ac:dyDescent="0.25">
      <c r="A82" s="134">
        <f t="shared" si="42"/>
        <v>0</v>
      </c>
      <c r="B82" s="134">
        <f t="shared" si="53"/>
        <v>0</v>
      </c>
      <c r="C82" s="134">
        <f t="shared" ref="C82:H82" si="60">(B82/B$65)*C$65</f>
        <v>0</v>
      </c>
      <c r="D82" s="134">
        <f t="shared" si="60"/>
        <v>0</v>
      </c>
      <c r="E82" s="134">
        <f t="shared" si="60"/>
        <v>0</v>
      </c>
      <c r="F82" s="134">
        <f t="shared" si="60"/>
        <v>0</v>
      </c>
      <c r="G82" s="134">
        <f t="shared" si="60"/>
        <v>0</v>
      </c>
      <c r="H82" s="134">
        <f t="shared" si="60"/>
        <v>0</v>
      </c>
    </row>
    <row r="83" spans="1:26" ht="15.75" customHeight="1" x14ac:dyDescent="0.25">
      <c r="A83" s="134">
        <f t="shared" si="42"/>
        <v>0</v>
      </c>
      <c r="B83" s="134">
        <f t="shared" si="53"/>
        <v>0</v>
      </c>
      <c r="C83" s="134">
        <f t="shared" ref="C83:H83" si="61">(B83/B$65)*C$65</f>
        <v>0</v>
      </c>
      <c r="D83" s="134">
        <f t="shared" si="61"/>
        <v>0</v>
      </c>
      <c r="E83" s="134">
        <f t="shared" si="61"/>
        <v>0</v>
      </c>
      <c r="F83" s="134">
        <f t="shared" si="61"/>
        <v>0</v>
      </c>
      <c r="G83" s="134">
        <f t="shared" si="61"/>
        <v>0</v>
      </c>
      <c r="H83" s="134">
        <f t="shared" si="61"/>
        <v>0</v>
      </c>
    </row>
    <row r="84" spans="1:26" ht="15.75" customHeight="1" x14ac:dyDescent="0.25">
      <c r="A84" s="134" t="str">
        <f t="shared" si="42"/>
        <v>Turmeric</v>
      </c>
      <c r="B84" s="134">
        <f t="shared" ref="B84:B87" si="62">H33*$B$65</f>
        <v>2450</v>
      </c>
      <c r="C84" s="134">
        <f t="shared" ref="C84:H84" si="63">(B84/B$65)*C$65</f>
        <v>2695</v>
      </c>
      <c r="D84" s="134">
        <f t="shared" si="63"/>
        <v>2940.0000000000005</v>
      </c>
      <c r="E84" s="134">
        <f t="shared" si="63"/>
        <v>3185.0000000000005</v>
      </c>
      <c r="F84" s="134">
        <f t="shared" si="63"/>
        <v>3430.0000000000009</v>
      </c>
      <c r="G84" s="134">
        <f t="shared" si="63"/>
        <v>3675.0000000000009</v>
      </c>
      <c r="H84" s="134">
        <f t="shared" si="63"/>
        <v>3920.0000000000014</v>
      </c>
    </row>
    <row r="85" spans="1:26" ht="15.75" customHeight="1" x14ac:dyDescent="0.25">
      <c r="A85" s="134">
        <f t="shared" si="42"/>
        <v>0</v>
      </c>
      <c r="B85" s="134">
        <f t="shared" si="62"/>
        <v>0</v>
      </c>
      <c r="C85" s="134">
        <f t="shared" ref="C85:H85" si="64">(B85/B$65)*C$65</f>
        <v>0</v>
      </c>
      <c r="D85" s="134">
        <f t="shared" si="64"/>
        <v>0</v>
      </c>
      <c r="E85" s="134">
        <f t="shared" si="64"/>
        <v>0</v>
      </c>
      <c r="F85" s="134">
        <f t="shared" si="64"/>
        <v>0</v>
      </c>
      <c r="G85" s="134">
        <f t="shared" si="64"/>
        <v>0</v>
      </c>
      <c r="H85" s="134">
        <f t="shared" si="64"/>
        <v>0</v>
      </c>
    </row>
    <row r="86" spans="1:26" ht="15.75" customHeight="1" x14ac:dyDescent="0.25">
      <c r="A86" s="134">
        <f t="shared" si="42"/>
        <v>0</v>
      </c>
      <c r="B86" s="134">
        <f t="shared" si="62"/>
        <v>0</v>
      </c>
      <c r="C86" s="134">
        <f t="shared" ref="C86:H86" si="65">(B86/B$65)*C$65</f>
        <v>0</v>
      </c>
      <c r="D86" s="134">
        <f t="shared" si="65"/>
        <v>0</v>
      </c>
      <c r="E86" s="134">
        <f t="shared" si="65"/>
        <v>0</v>
      </c>
      <c r="F86" s="134">
        <f t="shared" si="65"/>
        <v>0</v>
      </c>
      <c r="G86" s="134">
        <f t="shared" si="65"/>
        <v>0</v>
      </c>
      <c r="H86" s="134">
        <f t="shared" si="65"/>
        <v>0</v>
      </c>
    </row>
    <row r="87" spans="1:26" ht="15.75" customHeight="1" x14ac:dyDescent="0.25">
      <c r="A87" s="134">
        <f t="shared" si="42"/>
        <v>0</v>
      </c>
      <c r="B87" s="134">
        <f t="shared" si="62"/>
        <v>0</v>
      </c>
      <c r="C87" s="134">
        <f t="shared" ref="C87:H87" si="66">(B87/B$65)*C$65</f>
        <v>0</v>
      </c>
      <c r="D87" s="134">
        <f t="shared" si="66"/>
        <v>0</v>
      </c>
      <c r="E87" s="134">
        <f t="shared" si="66"/>
        <v>0</v>
      </c>
      <c r="F87" s="134">
        <f t="shared" si="66"/>
        <v>0</v>
      </c>
      <c r="G87" s="134">
        <f t="shared" si="66"/>
        <v>0</v>
      </c>
      <c r="H87" s="134">
        <f t="shared" si="66"/>
        <v>0</v>
      </c>
    </row>
    <row r="88" spans="1:26" ht="15.75" customHeight="1" x14ac:dyDescent="0.25">
      <c r="B88" s="79"/>
      <c r="C88" s="79"/>
      <c r="D88" s="79"/>
      <c r="E88" s="79"/>
      <c r="F88" s="79"/>
      <c r="G88" s="79"/>
      <c r="H88" s="79"/>
      <c r="I88" s="79"/>
    </row>
    <row r="89" spans="1:26" ht="15.75" customHeight="1" x14ac:dyDescent="0.25">
      <c r="A89" s="393" t="s">
        <v>538</v>
      </c>
      <c r="B89" s="342"/>
      <c r="C89" s="342"/>
      <c r="D89" s="342"/>
      <c r="E89" s="342"/>
      <c r="F89" s="342"/>
      <c r="G89" s="342"/>
      <c r="H89" s="343"/>
    </row>
    <row r="90" spans="1:26" ht="15.75" customHeight="1" x14ac:dyDescent="0.25">
      <c r="A90" s="392" t="s">
        <v>148</v>
      </c>
      <c r="B90" s="257">
        <v>0.2</v>
      </c>
      <c r="C90" s="258">
        <f t="shared" ref="C90:H90" si="67">B90+0.05</f>
        <v>0.25</v>
      </c>
      <c r="D90" s="258">
        <f t="shared" si="67"/>
        <v>0.3</v>
      </c>
      <c r="E90" s="258">
        <f t="shared" si="67"/>
        <v>0.35</v>
      </c>
      <c r="F90" s="258">
        <f t="shared" si="67"/>
        <v>0.39999999999999997</v>
      </c>
      <c r="G90" s="258">
        <f t="shared" si="67"/>
        <v>0.44999999999999996</v>
      </c>
      <c r="H90" s="258">
        <f t="shared" si="67"/>
        <v>0.49999999999999994</v>
      </c>
    </row>
    <row r="91" spans="1:26" ht="15.75" customHeight="1" x14ac:dyDescent="0.25">
      <c r="A91" s="348"/>
      <c r="B91" s="239" t="s">
        <v>151</v>
      </c>
      <c r="C91" s="239" t="s">
        <v>152</v>
      </c>
      <c r="D91" s="239" t="s">
        <v>153</v>
      </c>
      <c r="E91" s="239" t="s">
        <v>154</v>
      </c>
      <c r="F91" s="239" t="s">
        <v>155</v>
      </c>
      <c r="G91" s="239" t="s">
        <v>156</v>
      </c>
      <c r="H91" s="239" t="s">
        <v>157</v>
      </c>
    </row>
    <row r="92" spans="1:26" ht="15.75" customHeight="1" x14ac:dyDescent="0.25">
      <c r="A92" s="134" t="str">
        <f t="shared" ref="A92:A112" si="68">A67</f>
        <v>Turmeric</v>
      </c>
      <c r="B92" s="134">
        <f t="shared" ref="B92:B100" si="69">D14*$B$90</f>
        <v>0</v>
      </c>
      <c r="C92" s="134">
        <f t="shared" ref="C92:H92" si="70">(B92/B$90)*C$90</f>
        <v>0</v>
      </c>
      <c r="D92" s="134">
        <f t="shared" si="70"/>
        <v>0</v>
      </c>
      <c r="E92" s="134">
        <f t="shared" si="70"/>
        <v>0</v>
      </c>
      <c r="F92" s="134">
        <f t="shared" si="70"/>
        <v>0</v>
      </c>
      <c r="G92" s="134">
        <f t="shared" si="70"/>
        <v>0</v>
      </c>
      <c r="H92" s="134">
        <f t="shared" si="70"/>
        <v>0</v>
      </c>
      <c r="I92" s="79"/>
      <c r="J92" s="79"/>
      <c r="K92" s="79"/>
      <c r="L92" s="79"/>
      <c r="M92" s="79"/>
      <c r="N92" s="79"/>
      <c r="O92" s="79"/>
      <c r="P92" s="79"/>
      <c r="Q92" s="79"/>
      <c r="R92" s="79"/>
      <c r="S92" s="79"/>
      <c r="T92" s="79"/>
      <c r="U92" s="79"/>
      <c r="V92" s="79"/>
      <c r="W92" s="79"/>
      <c r="X92" s="79"/>
      <c r="Y92" s="79"/>
      <c r="Z92" s="79"/>
    </row>
    <row r="93" spans="1:26" ht="15.75" customHeight="1" x14ac:dyDescent="0.25">
      <c r="A93" s="134" t="str">
        <f t="shared" si="68"/>
        <v>Red Gram/Tur</v>
      </c>
      <c r="B93" s="134">
        <f t="shared" si="69"/>
        <v>0</v>
      </c>
      <c r="C93" s="134">
        <f t="shared" ref="C93:C113" si="71">(B93/B$90)*C$90</f>
        <v>0</v>
      </c>
      <c r="D93" s="134">
        <f t="shared" ref="D93:H93" si="72">(C93/C90)*D90</f>
        <v>0</v>
      </c>
      <c r="E93" s="134">
        <f t="shared" si="72"/>
        <v>0</v>
      </c>
      <c r="F93" s="134">
        <f t="shared" si="72"/>
        <v>0</v>
      </c>
      <c r="G93" s="134">
        <f t="shared" si="72"/>
        <v>0</v>
      </c>
      <c r="H93" s="134">
        <f t="shared" si="72"/>
        <v>0</v>
      </c>
    </row>
    <row r="94" spans="1:26" ht="15.75" customHeight="1" x14ac:dyDescent="0.25">
      <c r="A94" s="134" t="str">
        <f t="shared" si="68"/>
        <v>Paddy/Rice</v>
      </c>
      <c r="B94" s="134">
        <f t="shared" si="69"/>
        <v>0</v>
      </c>
      <c r="C94" s="134">
        <f t="shared" si="71"/>
        <v>0</v>
      </c>
      <c r="D94" s="134">
        <f t="shared" ref="D94:H94" si="73">(C94/C$90)*D$90</f>
        <v>0</v>
      </c>
      <c r="E94" s="134">
        <f t="shared" si="73"/>
        <v>0</v>
      </c>
      <c r="F94" s="134">
        <f t="shared" si="73"/>
        <v>0</v>
      </c>
      <c r="G94" s="134">
        <f t="shared" si="73"/>
        <v>0</v>
      </c>
      <c r="H94" s="134">
        <f t="shared" si="73"/>
        <v>0</v>
      </c>
    </row>
    <row r="95" spans="1:26" ht="15.75" customHeight="1" x14ac:dyDescent="0.25">
      <c r="A95" s="134" t="str">
        <f t="shared" si="68"/>
        <v>Green Gram/ Moong</v>
      </c>
      <c r="B95" s="134">
        <f t="shared" si="69"/>
        <v>0</v>
      </c>
      <c r="C95" s="134">
        <f t="shared" si="71"/>
        <v>0</v>
      </c>
      <c r="D95" s="134">
        <f t="shared" ref="D95:H95" si="74">(C95/C$90)*D$90</f>
        <v>0</v>
      </c>
      <c r="E95" s="134">
        <f t="shared" si="74"/>
        <v>0</v>
      </c>
      <c r="F95" s="134">
        <f t="shared" si="74"/>
        <v>0</v>
      </c>
      <c r="G95" s="134">
        <f t="shared" si="74"/>
        <v>0</v>
      </c>
      <c r="H95" s="134">
        <f t="shared" si="74"/>
        <v>0</v>
      </c>
    </row>
    <row r="96" spans="1:26" ht="15.75" customHeight="1" x14ac:dyDescent="0.25">
      <c r="A96" s="134" t="str">
        <f t="shared" si="68"/>
        <v>Maize</v>
      </c>
      <c r="B96" s="134">
        <f t="shared" si="69"/>
        <v>0</v>
      </c>
      <c r="C96" s="134">
        <f t="shared" si="71"/>
        <v>0</v>
      </c>
      <c r="D96" s="134">
        <f t="shared" ref="D96:H96" si="75">(C96/C$90)*D$90</f>
        <v>0</v>
      </c>
      <c r="E96" s="134">
        <f t="shared" si="75"/>
        <v>0</v>
      </c>
      <c r="F96" s="134">
        <f t="shared" si="75"/>
        <v>0</v>
      </c>
      <c r="G96" s="134">
        <f t="shared" si="75"/>
        <v>0</v>
      </c>
      <c r="H96" s="134">
        <f t="shared" si="75"/>
        <v>0</v>
      </c>
    </row>
    <row r="97" spans="1:8" ht="15.75" customHeight="1" x14ac:dyDescent="0.25">
      <c r="A97" s="134" t="str">
        <f t="shared" si="68"/>
        <v>Black Gram/Udid</v>
      </c>
      <c r="B97" s="134">
        <f t="shared" si="69"/>
        <v>0</v>
      </c>
      <c r="C97" s="134">
        <f t="shared" si="71"/>
        <v>0</v>
      </c>
      <c r="D97" s="134">
        <f t="shared" ref="D97:H97" si="76">(C97/C$90)*D$90</f>
        <v>0</v>
      </c>
      <c r="E97" s="134">
        <f t="shared" si="76"/>
        <v>0</v>
      </c>
      <c r="F97" s="134">
        <f t="shared" si="76"/>
        <v>0</v>
      </c>
      <c r="G97" s="134">
        <f t="shared" si="76"/>
        <v>0</v>
      </c>
      <c r="H97" s="134">
        <f t="shared" si="76"/>
        <v>0</v>
      </c>
    </row>
    <row r="98" spans="1:8" ht="15.75" customHeight="1" x14ac:dyDescent="0.25">
      <c r="A98" s="134" t="str">
        <f t="shared" si="68"/>
        <v>Bajra</v>
      </c>
      <c r="B98" s="134">
        <f t="shared" si="69"/>
        <v>0</v>
      </c>
      <c r="C98" s="134">
        <f t="shared" si="71"/>
        <v>0</v>
      </c>
      <c r="D98" s="134">
        <f t="shared" ref="D98:H98" si="77">(C98/C$90)*D$90</f>
        <v>0</v>
      </c>
      <c r="E98" s="134">
        <f t="shared" si="77"/>
        <v>0</v>
      </c>
      <c r="F98" s="134">
        <f t="shared" si="77"/>
        <v>0</v>
      </c>
      <c r="G98" s="134">
        <f t="shared" si="77"/>
        <v>0</v>
      </c>
      <c r="H98" s="134">
        <f t="shared" si="77"/>
        <v>0</v>
      </c>
    </row>
    <row r="99" spans="1:8" ht="15.75" customHeight="1" x14ac:dyDescent="0.25">
      <c r="A99" s="134" t="str">
        <f t="shared" si="68"/>
        <v>Jawar</v>
      </c>
      <c r="B99" s="134">
        <f t="shared" si="69"/>
        <v>0</v>
      </c>
      <c r="C99" s="134">
        <f t="shared" si="71"/>
        <v>0</v>
      </c>
      <c r="D99" s="134">
        <f t="shared" ref="D99:H99" si="78">(C99/C$90)*D$90</f>
        <v>0</v>
      </c>
      <c r="E99" s="134">
        <f t="shared" si="78"/>
        <v>0</v>
      </c>
      <c r="F99" s="134">
        <f t="shared" si="78"/>
        <v>0</v>
      </c>
      <c r="G99" s="134">
        <f t="shared" si="78"/>
        <v>0</v>
      </c>
      <c r="H99" s="134">
        <f t="shared" si="78"/>
        <v>0</v>
      </c>
    </row>
    <row r="100" spans="1:8" ht="15.75" customHeight="1" x14ac:dyDescent="0.25">
      <c r="A100" s="134" t="str">
        <f t="shared" si="68"/>
        <v>Sunflower</v>
      </c>
      <c r="B100" s="134">
        <f t="shared" si="69"/>
        <v>0</v>
      </c>
      <c r="C100" s="134">
        <f t="shared" si="71"/>
        <v>0</v>
      </c>
      <c r="D100" s="134">
        <f t="shared" ref="D100:H100" si="79">(C100/C$90)*D$90</f>
        <v>0</v>
      </c>
      <c r="E100" s="134">
        <f t="shared" si="79"/>
        <v>0</v>
      </c>
      <c r="F100" s="134">
        <f t="shared" si="79"/>
        <v>0</v>
      </c>
      <c r="G100" s="134">
        <f t="shared" si="79"/>
        <v>0</v>
      </c>
      <c r="H100" s="134">
        <f t="shared" si="79"/>
        <v>0</v>
      </c>
    </row>
    <row r="101" spans="1:8" ht="15.75" customHeight="1" x14ac:dyDescent="0.25">
      <c r="A101" s="134" t="str">
        <f t="shared" si="68"/>
        <v>Wheat</v>
      </c>
      <c r="B101" s="134">
        <f t="shared" ref="B101:B108" si="80">D24*$B$90</f>
        <v>0</v>
      </c>
      <c r="C101" s="134">
        <f t="shared" si="71"/>
        <v>0</v>
      </c>
      <c r="D101" s="134">
        <f t="shared" ref="D101:H101" si="81">(C101/C$90)*D$90</f>
        <v>0</v>
      </c>
      <c r="E101" s="134">
        <f t="shared" si="81"/>
        <v>0</v>
      </c>
      <c r="F101" s="134">
        <f t="shared" si="81"/>
        <v>0</v>
      </c>
      <c r="G101" s="134">
        <f t="shared" si="81"/>
        <v>0</v>
      </c>
      <c r="H101" s="134">
        <f t="shared" si="81"/>
        <v>0</v>
      </c>
    </row>
    <row r="102" spans="1:8" ht="15.75" customHeight="1" x14ac:dyDescent="0.25">
      <c r="A102" s="134" t="str">
        <f t="shared" si="68"/>
        <v>Bengal Gram/Channa</v>
      </c>
      <c r="B102" s="134">
        <f t="shared" si="80"/>
        <v>0</v>
      </c>
      <c r="C102" s="134">
        <f t="shared" si="71"/>
        <v>0</v>
      </c>
      <c r="D102" s="134">
        <f t="shared" ref="D102:H102" si="82">(C102/C$90)*D$90</f>
        <v>0</v>
      </c>
      <c r="E102" s="134">
        <f t="shared" si="82"/>
        <v>0</v>
      </c>
      <c r="F102" s="134">
        <f t="shared" si="82"/>
        <v>0</v>
      </c>
      <c r="G102" s="134">
        <f t="shared" si="82"/>
        <v>0</v>
      </c>
      <c r="H102" s="134">
        <f t="shared" si="82"/>
        <v>0</v>
      </c>
    </row>
    <row r="103" spans="1:8" ht="15.75" customHeight="1" x14ac:dyDescent="0.25">
      <c r="A103" s="134" t="str">
        <f t="shared" si="68"/>
        <v>Jawar</v>
      </c>
      <c r="B103" s="134">
        <f t="shared" si="80"/>
        <v>0</v>
      </c>
      <c r="C103" s="134">
        <f t="shared" si="71"/>
        <v>0</v>
      </c>
      <c r="D103" s="134">
        <f t="shared" ref="D103:H103" si="83">(C103/C$90)*D$90</f>
        <v>0</v>
      </c>
      <c r="E103" s="134">
        <f t="shared" si="83"/>
        <v>0</v>
      </c>
      <c r="F103" s="134">
        <f t="shared" si="83"/>
        <v>0</v>
      </c>
      <c r="G103" s="134">
        <f t="shared" si="83"/>
        <v>0</v>
      </c>
      <c r="H103" s="134">
        <f t="shared" si="83"/>
        <v>0</v>
      </c>
    </row>
    <row r="104" spans="1:8" ht="15.75" customHeight="1" x14ac:dyDescent="0.25">
      <c r="A104" s="134" t="str">
        <f t="shared" si="68"/>
        <v>Maize</v>
      </c>
      <c r="B104" s="134">
        <f t="shared" si="80"/>
        <v>0</v>
      </c>
      <c r="C104" s="134">
        <f t="shared" si="71"/>
        <v>0</v>
      </c>
      <c r="D104" s="134">
        <f t="shared" ref="D104:H104" si="84">(C104/C$90)*D$90</f>
        <v>0</v>
      </c>
      <c r="E104" s="134">
        <f t="shared" si="84"/>
        <v>0</v>
      </c>
      <c r="F104" s="134">
        <f t="shared" si="84"/>
        <v>0</v>
      </c>
      <c r="G104" s="134">
        <f t="shared" si="84"/>
        <v>0</v>
      </c>
      <c r="H104" s="134">
        <f t="shared" si="84"/>
        <v>0</v>
      </c>
    </row>
    <row r="105" spans="1:8" ht="15.75" customHeight="1" x14ac:dyDescent="0.25">
      <c r="A105" s="134" t="str">
        <f t="shared" si="68"/>
        <v>Safflower</v>
      </c>
      <c r="B105" s="134">
        <f t="shared" si="80"/>
        <v>0</v>
      </c>
      <c r="C105" s="134">
        <f t="shared" si="71"/>
        <v>0</v>
      </c>
      <c r="D105" s="134">
        <f t="shared" ref="D105:H105" si="85">(C105/C$90)*D$90</f>
        <v>0</v>
      </c>
      <c r="E105" s="134">
        <f t="shared" si="85"/>
        <v>0</v>
      </c>
      <c r="F105" s="134">
        <f t="shared" si="85"/>
        <v>0</v>
      </c>
      <c r="G105" s="134">
        <f t="shared" si="85"/>
        <v>0</v>
      </c>
      <c r="H105" s="134">
        <f t="shared" si="85"/>
        <v>0</v>
      </c>
    </row>
    <row r="106" spans="1:8" ht="15.75" customHeight="1" x14ac:dyDescent="0.25">
      <c r="A106" s="134">
        <f t="shared" si="68"/>
        <v>0</v>
      </c>
      <c r="B106" s="134">
        <f t="shared" si="80"/>
        <v>0</v>
      </c>
      <c r="C106" s="134">
        <f t="shared" si="71"/>
        <v>0</v>
      </c>
      <c r="D106" s="134">
        <f t="shared" ref="D106:H106" si="86">(C106/C$90)*D$90</f>
        <v>0</v>
      </c>
      <c r="E106" s="134">
        <f t="shared" si="86"/>
        <v>0</v>
      </c>
      <c r="F106" s="134">
        <f t="shared" si="86"/>
        <v>0</v>
      </c>
      <c r="G106" s="134">
        <f t="shared" si="86"/>
        <v>0</v>
      </c>
      <c r="H106" s="134">
        <f t="shared" si="86"/>
        <v>0</v>
      </c>
    </row>
    <row r="107" spans="1:8" ht="15.75" customHeight="1" x14ac:dyDescent="0.25">
      <c r="A107" s="134">
        <f t="shared" si="68"/>
        <v>0</v>
      </c>
      <c r="B107" s="134">
        <f t="shared" si="80"/>
        <v>0</v>
      </c>
      <c r="C107" s="134">
        <f t="shared" si="71"/>
        <v>0</v>
      </c>
      <c r="D107" s="134">
        <f t="shared" ref="D107:H107" si="87">(C107/C$90)*D$90</f>
        <v>0</v>
      </c>
      <c r="E107" s="134">
        <f t="shared" si="87"/>
        <v>0</v>
      </c>
      <c r="F107" s="134">
        <f t="shared" si="87"/>
        <v>0</v>
      </c>
      <c r="G107" s="134">
        <f t="shared" si="87"/>
        <v>0</v>
      </c>
      <c r="H107" s="134">
        <f t="shared" si="87"/>
        <v>0</v>
      </c>
    </row>
    <row r="108" spans="1:8" ht="15.75" customHeight="1" x14ac:dyDescent="0.25">
      <c r="A108" s="134">
        <f t="shared" si="68"/>
        <v>0</v>
      </c>
      <c r="B108" s="134">
        <f t="shared" si="80"/>
        <v>0</v>
      </c>
      <c r="C108" s="134">
        <f t="shared" si="71"/>
        <v>0</v>
      </c>
      <c r="D108" s="134">
        <f t="shared" ref="D108:H108" si="88">(C108/C$90)*D$90</f>
        <v>0</v>
      </c>
      <c r="E108" s="134">
        <f t="shared" si="88"/>
        <v>0</v>
      </c>
      <c r="F108" s="134">
        <f t="shared" si="88"/>
        <v>0</v>
      </c>
      <c r="G108" s="134">
        <f t="shared" si="88"/>
        <v>0</v>
      </c>
      <c r="H108" s="134">
        <f t="shared" si="88"/>
        <v>0</v>
      </c>
    </row>
    <row r="109" spans="1:8" ht="15.75" customHeight="1" x14ac:dyDescent="0.25">
      <c r="A109" s="134" t="str">
        <f t="shared" si="68"/>
        <v>Turmeric</v>
      </c>
      <c r="B109" s="134">
        <f t="shared" ref="B109:B110" si="89">D33*$B$90</f>
        <v>49</v>
      </c>
      <c r="C109" s="134">
        <f t="shared" si="71"/>
        <v>61.25</v>
      </c>
      <c r="D109" s="134">
        <f t="shared" ref="D109:H109" si="90">(C109/C$90)*D$90</f>
        <v>73.5</v>
      </c>
      <c r="E109" s="134">
        <f t="shared" si="90"/>
        <v>85.75</v>
      </c>
      <c r="F109" s="134">
        <f t="shared" si="90"/>
        <v>98</v>
      </c>
      <c r="G109" s="134">
        <f t="shared" si="90"/>
        <v>110.25</v>
      </c>
      <c r="H109" s="134">
        <f t="shared" si="90"/>
        <v>122.5</v>
      </c>
    </row>
    <row r="110" spans="1:8" ht="15.75" customHeight="1" x14ac:dyDescent="0.25">
      <c r="A110" s="134">
        <f t="shared" si="68"/>
        <v>0</v>
      </c>
      <c r="B110" s="134">
        <f t="shared" si="89"/>
        <v>0</v>
      </c>
      <c r="C110" s="134">
        <f t="shared" si="71"/>
        <v>0</v>
      </c>
      <c r="D110" s="134">
        <f t="shared" ref="D110:H110" si="91">(C110/C$90)*D$90</f>
        <v>0</v>
      </c>
      <c r="E110" s="134">
        <f t="shared" si="91"/>
        <v>0</v>
      </c>
      <c r="F110" s="134">
        <f t="shared" si="91"/>
        <v>0</v>
      </c>
      <c r="G110" s="134">
        <f t="shared" si="91"/>
        <v>0</v>
      </c>
      <c r="H110" s="134">
        <f t="shared" si="91"/>
        <v>0</v>
      </c>
    </row>
    <row r="111" spans="1:8" ht="15.75" customHeight="1" x14ac:dyDescent="0.25">
      <c r="A111" s="134">
        <f t="shared" si="68"/>
        <v>0</v>
      </c>
      <c r="B111" s="134">
        <f>D34*$B$90</f>
        <v>0</v>
      </c>
      <c r="C111" s="134">
        <f t="shared" si="71"/>
        <v>0</v>
      </c>
      <c r="D111" s="134">
        <f t="shared" ref="D111:H111" si="92">(C111/C$90)*D$90</f>
        <v>0</v>
      </c>
      <c r="E111" s="134">
        <f t="shared" si="92"/>
        <v>0</v>
      </c>
      <c r="F111" s="134">
        <f t="shared" si="92"/>
        <v>0</v>
      </c>
      <c r="G111" s="134">
        <f t="shared" si="92"/>
        <v>0</v>
      </c>
      <c r="H111" s="134">
        <f t="shared" si="92"/>
        <v>0</v>
      </c>
    </row>
    <row r="112" spans="1:8" ht="15.75" customHeight="1" x14ac:dyDescent="0.25">
      <c r="A112" s="134">
        <f t="shared" si="68"/>
        <v>0</v>
      </c>
      <c r="B112" s="134">
        <f t="shared" ref="B112:B113" si="93">D36*$B$90</f>
        <v>0</v>
      </c>
      <c r="C112" s="134">
        <f t="shared" si="71"/>
        <v>0</v>
      </c>
      <c r="D112" s="134">
        <f t="shared" ref="D112:H112" si="94">(C112/C$90)*D$90</f>
        <v>0</v>
      </c>
      <c r="E112" s="134">
        <f t="shared" si="94"/>
        <v>0</v>
      </c>
      <c r="F112" s="134">
        <f t="shared" si="94"/>
        <v>0</v>
      </c>
      <c r="G112" s="134">
        <f t="shared" si="94"/>
        <v>0</v>
      </c>
      <c r="H112" s="134">
        <f t="shared" si="94"/>
        <v>0</v>
      </c>
    </row>
    <row r="113" spans="1:9" ht="15.75" customHeight="1" x14ac:dyDescent="0.25">
      <c r="A113" s="134"/>
      <c r="B113" s="134">
        <f t="shared" si="93"/>
        <v>0</v>
      </c>
      <c r="C113" s="134">
        <f t="shared" si="71"/>
        <v>0</v>
      </c>
      <c r="D113" s="134">
        <f t="shared" ref="D113:H113" si="95">(C113/C$90)*D$90</f>
        <v>0</v>
      </c>
      <c r="E113" s="134">
        <f t="shared" si="95"/>
        <v>0</v>
      </c>
      <c r="F113" s="134">
        <f t="shared" si="95"/>
        <v>0</v>
      </c>
      <c r="G113" s="134">
        <f t="shared" si="95"/>
        <v>0</v>
      </c>
      <c r="H113" s="134">
        <f t="shared" si="95"/>
        <v>0</v>
      </c>
    </row>
    <row r="114" spans="1:9" ht="15.75" customHeight="1" x14ac:dyDescent="0.25"/>
    <row r="115" spans="1:9" ht="15.75" customHeight="1" x14ac:dyDescent="0.25">
      <c r="C115" s="153"/>
      <c r="D115" s="208"/>
      <c r="E115" s="208"/>
      <c r="F115" s="208"/>
      <c r="G115" s="208"/>
      <c r="H115" s="208"/>
      <c r="I115" s="208"/>
    </row>
    <row r="116" spans="1:9" ht="15.75" customHeight="1" x14ac:dyDescent="0.25">
      <c r="A116" t="s">
        <v>539</v>
      </c>
      <c r="C116" s="48"/>
      <c r="D116" s="48"/>
      <c r="E116" s="48"/>
      <c r="F116" s="48"/>
      <c r="G116" s="48"/>
      <c r="H116" s="48"/>
      <c r="I116" s="48"/>
    </row>
    <row r="117" spans="1:9" ht="15.75" customHeight="1" x14ac:dyDescent="0.25">
      <c r="A117">
        <v>1</v>
      </c>
      <c r="B117" t="s">
        <v>540</v>
      </c>
    </row>
    <row r="118" spans="1:9" ht="15.75" customHeight="1" x14ac:dyDescent="0.25">
      <c r="A118">
        <v>2</v>
      </c>
      <c r="B118" t="s">
        <v>541</v>
      </c>
    </row>
    <row r="119" spans="1:9" ht="15.75" customHeight="1" x14ac:dyDescent="0.25">
      <c r="A119">
        <v>3</v>
      </c>
      <c r="B119" t="s">
        <v>542</v>
      </c>
    </row>
  </sheetData>
  <mergeCells count="12">
    <mergeCell ref="A40:A41"/>
    <mergeCell ref="A64:H64"/>
    <mergeCell ref="A90:A91"/>
    <mergeCell ref="A89:H89"/>
    <mergeCell ref="A1:H1"/>
    <mergeCell ref="A3:B3"/>
    <mergeCell ref="A11:H11"/>
    <mergeCell ref="A37:H37"/>
    <mergeCell ref="A14:A22"/>
    <mergeCell ref="A39:H39"/>
    <mergeCell ref="A65:A66"/>
    <mergeCell ref="A24:A31"/>
  </mergeCells>
  <printOptions horizontalCentered="1"/>
  <pageMargins left="0.23622047244094491" right="0.23622047244094491" top="0.74803149606299213" bottom="0.74803149606299213" header="0.31496062992125984" footer="0.31496062992125984"/>
  <pageSetup paperSize="9" scale="80" fitToHeight="0" orientation="landscape" r:id="rId1"/>
  <rowBreaks count="3" manualBreakCount="3">
    <brk id="37" max="16383" man="1"/>
    <brk id="62" max="7" man="1"/>
    <brk id="87" max="16383" man="1"/>
  </rowBreaks>
  <colBreaks count="1" manualBreakCount="1">
    <brk id="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119" zoomScale="60" zoomScaleNormal="100" workbookViewId="0">
      <selection activeCell="A148" sqref="A148"/>
    </sheetView>
  </sheetViews>
  <sheetFormatPr defaultColWidth="14.42578125" defaultRowHeight="15" customHeight="1" x14ac:dyDescent="0.25"/>
  <cols>
    <col min="1" max="1" width="44.28515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8.75" x14ac:dyDescent="0.3">
      <c r="A1" s="354" t="s">
        <v>543</v>
      </c>
      <c r="B1" s="338"/>
      <c r="C1" s="338"/>
      <c r="D1" s="338"/>
      <c r="E1" s="338"/>
      <c r="F1" s="338"/>
      <c r="G1" s="338"/>
      <c r="H1" s="338"/>
    </row>
    <row r="2" spans="1:26" x14ac:dyDescent="0.25">
      <c r="B2" s="153"/>
    </row>
    <row r="3" spans="1:26" ht="18.75" x14ac:dyDescent="0.3">
      <c r="A3" s="394" t="s">
        <v>544</v>
      </c>
      <c r="B3" s="340"/>
    </row>
    <row r="4" spans="1:26" x14ac:dyDescent="0.25">
      <c r="A4" s="238" t="s">
        <v>148</v>
      </c>
      <c r="B4" s="239" t="s">
        <v>159</v>
      </c>
      <c r="C4" s="240"/>
      <c r="D4" s="240"/>
      <c r="E4" s="240"/>
      <c r="F4" s="240"/>
      <c r="G4" s="240"/>
      <c r="H4" s="240"/>
    </row>
    <row r="5" spans="1:26" x14ac:dyDescent="0.25">
      <c r="A5" s="134" t="s">
        <v>545</v>
      </c>
      <c r="B5" s="241"/>
      <c r="C5" s="79"/>
      <c r="D5" s="242"/>
      <c r="E5" s="242"/>
      <c r="F5" s="242"/>
      <c r="G5" s="242"/>
      <c r="H5" s="242"/>
    </row>
    <row r="6" spans="1:26" x14ac:dyDescent="0.25">
      <c r="A6" s="134" t="s">
        <v>546</v>
      </c>
      <c r="B6" s="241"/>
      <c r="C6" s="79"/>
      <c r="D6" s="242"/>
      <c r="E6" s="242"/>
      <c r="F6" s="242"/>
      <c r="G6" s="242"/>
      <c r="H6" s="242"/>
    </row>
    <row r="7" spans="1:26" x14ac:dyDescent="0.25">
      <c r="A7" s="243" t="s">
        <v>88</v>
      </c>
      <c r="B7" s="243">
        <f>B5+B6</f>
        <v>0</v>
      </c>
      <c r="C7" s="158"/>
      <c r="D7" s="244"/>
      <c r="E7" s="244"/>
      <c r="F7" s="244"/>
      <c r="G7" s="244"/>
      <c r="H7" s="244"/>
    </row>
    <row r="8" spans="1:26" x14ac:dyDescent="0.25">
      <c r="A8" s="243" t="s">
        <v>547</v>
      </c>
      <c r="B8" s="245">
        <v>1</v>
      </c>
      <c r="C8" s="158"/>
      <c r="D8" s="158"/>
      <c r="E8" s="158"/>
      <c r="F8" s="158"/>
      <c r="G8" s="158"/>
      <c r="H8" s="158"/>
    </row>
    <row r="9" spans="1:26" x14ac:dyDescent="0.25">
      <c r="A9" s="243" t="s">
        <v>548</v>
      </c>
      <c r="B9" s="243">
        <f>B7*B8</f>
        <v>0</v>
      </c>
      <c r="C9" s="244"/>
      <c r="D9" s="244"/>
      <c r="E9" s="244"/>
      <c r="F9" s="244"/>
      <c r="G9" s="244"/>
      <c r="H9" s="244"/>
    </row>
    <row r="10" spans="1:26" x14ac:dyDescent="0.25">
      <c r="J10" t="s">
        <v>506</v>
      </c>
      <c r="O10" t="s">
        <v>321</v>
      </c>
      <c r="U10" t="s">
        <v>16</v>
      </c>
      <c r="Y10" t="s">
        <v>507</v>
      </c>
      <c r="Z10" t="s">
        <v>508</v>
      </c>
    </row>
    <row r="11" spans="1:26" ht="18.75" x14ac:dyDescent="0.3">
      <c r="A11" s="354" t="s">
        <v>549</v>
      </c>
      <c r="B11" s="338"/>
      <c r="C11" s="338"/>
      <c r="D11" s="338"/>
      <c r="E11" s="338"/>
      <c r="F11" s="338"/>
      <c r="G11" s="338"/>
      <c r="H11" s="338"/>
      <c r="I11" s="158"/>
      <c r="J11" s="158"/>
      <c r="K11" s="158"/>
      <c r="L11" s="158"/>
      <c r="M11" s="158"/>
      <c r="N11" s="158"/>
      <c r="O11" s="158"/>
      <c r="P11" s="158"/>
    </row>
    <row r="12" spans="1:26" x14ac:dyDescent="0.25">
      <c r="J12" s="153">
        <v>0.65</v>
      </c>
      <c r="K12" s="246">
        <f t="shared" ref="K12:N12" si="0">J12+0.05</f>
        <v>0.70000000000000007</v>
      </c>
      <c r="L12" s="246">
        <f t="shared" si="0"/>
        <v>0.75000000000000011</v>
      </c>
      <c r="M12" s="246">
        <f t="shared" si="0"/>
        <v>0.80000000000000016</v>
      </c>
      <c r="N12" s="246">
        <f t="shared" si="0"/>
        <v>0.8500000000000002</v>
      </c>
      <c r="O12" s="153">
        <v>0.4</v>
      </c>
      <c r="P12" s="153">
        <f t="shared" ref="P12:T12" si="1">O12+0.05</f>
        <v>0.45</v>
      </c>
      <c r="Q12" s="153">
        <f t="shared" si="1"/>
        <v>0.5</v>
      </c>
      <c r="R12" s="153">
        <f t="shared" si="1"/>
        <v>0.55000000000000004</v>
      </c>
      <c r="S12" s="153">
        <f t="shared" si="1"/>
        <v>0.60000000000000009</v>
      </c>
      <c r="T12" s="153">
        <f t="shared" si="1"/>
        <v>0.65000000000000013</v>
      </c>
      <c r="U12" s="153">
        <v>0.1</v>
      </c>
      <c r="V12" s="208">
        <f t="shared" ref="V12:X12" si="2">U12+0.05</f>
        <v>0.15000000000000002</v>
      </c>
      <c r="W12" s="208">
        <f t="shared" si="2"/>
        <v>0.2</v>
      </c>
      <c r="X12" s="208">
        <f t="shared" si="2"/>
        <v>0.25</v>
      </c>
    </row>
    <row r="13" spans="1:26" ht="45" x14ac:dyDescent="0.25">
      <c r="A13" s="238" t="s">
        <v>510</v>
      </c>
      <c r="B13" s="238" t="s">
        <v>511</v>
      </c>
      <c r="C13" s="247" t="s">
        <v>512</v>
      </c>
      <c r="D13" s="247" t="s">
        <v>513</v>
      </c>
      <c r="E13" s="247" t="s">
        <v>514</v>
      </c>
      <c r="F13" s="247" t="s">
        <v>515</v>
      </c>
      <c r="G13" s="247" t="s">
        <v>516</v>
      </c>
      <c r="H13" s="247" t="s">
        <v>517</v>
      </c>
      <c r="O13" s="248" t="s">
        <v>151</v>
      </c>
      <c r="P13" s="248" t="s">
        <v>152</v>
      </c>
      <c r="Q13" s="248" t="s">
        <v>153</v>
      </c>
      <c r="R13" s="248" t="s">
        <v>154</v>
      </c>
      <c r="S13" s="248" t="s">
        <v>155</v>
      </c>
      <c r="T13" s="248" t="s">
        <v>151</v>
      </c>
      <c r="U13" s="248" t="s">
        <v>152</v>
      </c>
      <c r="V13" s="248" t="s">
        <v>153</v>
      </c>
      <c r="W13" s="248" t="s">
        <v>154</v>
      </c>
      <c r="X13" s="248" t="s">
        <v>155</v>
      </c>
    </row>
    <row r="14" spans="1:26" x14ac:dyDescent="0.25">
      <c r="A14" s="395" t="s">
        <v>518</v>
      </c>
      <c r="B14" s="241" t="s">
        <v>550</v>
      </c>
      <c r="C14" s="249">
        <v>0</v>
      </c>
      <c r="D14" s="134">
        <f t="shared" ref="D14:D22" si="3">$B$9*C14</f>
        <v>0</v>
      </c>
      <c r="E14" s="250">
        <v>15</v>
      </c>
      <c r="F14" s="134">
        <f t="shared" ref="F14:F22" si="4">D14*E14</f>
        <v>0</v>
      </c>
      <c r="G14" s="251">
        <v>0.1</v>
      </c>
      <c r="H14" s="134">
        <f t="shared" ref="H14:H22" si="5">(F14-F14*G14)</f>
        <v>0</v>
      </c>
      <c r="J14">
        <f t="shared" ref="J14:N14" si="6">$D$14*J12</f>
        <v>0</v>
      </c>
      <c r="K14">
        <f t="shared" si="6"/>
        <v>0</v>
      </c>
      <c r="L14">
        <f t="shared" si="6"/>
        <v>0</v>
      </c>
      <c r="M14">
        <f t="shared" si="6"/>
        <v>0</v>
      </c>
      <c r="N14">
        <f t="shared" si="6"/>
        <v>0</v>
      </c>
    </row>
    <row r="15" spans="1:26" x14ac:dyDescent="0.25">
      <c r="A15" s="347"/>
      <c r="B15" s="241" t="s">
        <v>551</v>
      </c>
      <c r="C15" s="249">
        <v>0</v>
      </c>
      <c r="D15" s="134">
        <f t="shared" si="3"/>
        <v>0</v>
      </c>
      <c r="E15" s="250">
        <v>7</v>
      </c>
      <c r="F15" s="134">
        <f t="shared" si="4"/>
        <v>0</v>
      </c>
      <c r="G15" s="251">
        <v>0.05</v>
      </c>
      <c r="H15" s="134">
        <f t="shared" si="5"/>
        <v>0</v>
      </c>
    </row>
    <row r="16" spans="1:26" x14ac:dyDescent="0.25">
      <c r="A16" s="347"/>
      <c r="B16" s="241" t="s">
        <v>552</v>
      </c>
      <c r="C16" s="249">
        <v>0</v>
      </c>
      <c r="D16" s="134">
        <f t="shared" si="3"/>
        <v>0</v>
      </c>
      <c r="E16" s="250">
        <v>4</v>
      </c>
      <c r="F16" s="134">
        <f t="shared" si="4"/>
        <v>0</v>
      </c>
      <c r="G16" s="251">
        <v>0</v>
      </c>
      <c r="H16" s="134">
        <f t="shared" si="5"/>
        <v>0</v>
      </c>
    </row>
    <row r="17" spans="1:8" x14ac:dyDescent="0.25">
      <c r="A17" s="347"/>
      <c r="B17" s="241" t="s">
        <v>553</v>
      </c>
      <c r="C17" s="249">
        <v>0</v>
      </c>
      <c r="D17" s="134">
        <f t="shared" si="3"/>
        <v>0</v>
      </c>
      <c r="E17" s="250">
        <v>7</v>
      </c>
      <c r="F17" s="134">
        <f t="shared" si="4"/>
        <v>0</v>
      </c>
      <c r="G17" s="251">
        <v>0.02</v>
      </c>
      <c r="H17" s="134">
        <f t="shared" si="5"/>
        <v>0</v>
      </c>
    </row>
    <row r="18" spans="1:8" x14ac:dyDescent="0.25">
      <c r="A18" s="347"/>
      <c r="B18" s="241" t="s">
        <v>554</v>
      </c>
      <c r="C18" s="249">
        <v>0</v>
      </c>
      <c r="D18" s="134">
        <f t="shared" si="3"/>
        <v>0</v>
      </c>
      <c r="E18" s="250">
        <v>20</v>
      </c>
      <c r="F18" s="134">
        <f t="shared" si="4"/>
        <v>0</v>
      </c>
      <c r="G18" s="251">
        <v>0</v>
      </c>
      <c r="H18" s="134">
        <f t="shared" si="5"/>
        <v>0</v>
      </c>
    </row>
    <row r="19" spans="1:8" x14ac:dyDescent="0.25">
      <c r="A19" s="347"/>
      <c r="B19" s="241"/>
      <c r="C19" s="249">
        <v>0</v>
      </c>
      <c r="D19" s="134">
        <f t="shared" si="3"/>
        <v>0</v>
      </c>
      <c r="E19" s="250">
        <v>7</v>
      </c>
      <c r="F19" s="134">
        <f t="shared" si="4"/>
        <v>0</v>
      </c>
      <c r="G19" s="251">
        <v>0.1</v>
      </c>
      <c r="H19" s="134">
        <f t="shared" si="5"/>
        <v>0</v>
      </c>
    </row>
    <row r="20" spans="1:8" x14ac:dyDescent="0.25">
      <c r="A20" s="347"/>
      <c r="B20" s="241"/>
      <c r="C20" s="249">
        <v>0</v>
      </c>
      <c r="D20" s="134">
        <f t="shared" si="3"/>
        <v>0</v>
      </c>
      <c r="E20" s="250">
        <v>6</v>
      </c>
      <c r="F20" s="134">
        <f t="shared" si="4"/>
        <v>0</v>
      </c>
      <c r="G20" s="251">
        <v>0.02</v>
      </c>
      <c r="H20" s="134">
        <f t="shared" si="5"/>
        <v>0</v>
      </c>
    </row>
    <row r="21" spans="1:8" ht="15.75" customHeight="1" x14ac:dyDescent="0.25">
      <c r="A21" s="347"/>
      <c r="B21" s="241"/>
      <c r="C21" s="249">
        <v>0</v>
      </c>
      <c r="D21" s="134">
        <f t="shared" si="3"/>
        <v>0</v>
      </c>
      <c r="E21" s="250"/>
      <c r="F21" s="134">
        <f t="shared" si="4"/>
        <v>0</v>
      </c>
      <c r="G21" s="251">
        <v>0</v>
      </c>
      <c r="H21" s="134">
        <f t="shared" si="5"/>
        <v>0</v>
      </c>
    </row>
    <row r="22" spans="1:8" ht="15.75" customHeight="1" x14ac:dyDescent="0.25">
      <c r="A22" s="348"/>
      <c r="B22" s="241"/>
      <c r="C22" s="249">
        <v>0</v>
      </c>
      <c r="D22" s="134">
        <f t="shared" si="3"/>
        <v>0</v>
      </c>
      <c r="E22" s="250"/>
      <c r="F22" s="134">
        <f t="shared" si="4"/>
        <v>0</v>
      </c>
      <c r="G22" s="251">
        <v>0</v>
      </c>
      <c r="H22" s="134">
        <f t="shared" si="5"/>
        <v>0</v>
      </c>
    </row>
    <row r="23" spans="1:8" ht="15.75" customHeight="1" x14ac:dyDescent="0.25">
      <c r="A23" s="259" t="s">
        <v>555</v>
      </c>
      <c r="B23" s="249"/>
      <c r="C23" s="241">
        <f>B9*B23</f>
        <v>0</v>
      </c>
      <c r="D23" s="134"/>
      <c r="E23" s="250"/>
      <c r="F23" s="134"/>
      <c r="G23" s="251"/>
      <c r="H23" s="134"/>
    </row>
    <row r="24" spans="1:8" ht="15.75" customHeight="1" x14ac:dyDescent="0.25">
      <c r="A24" s="395" t="s">
        <v>529</v>
      </c>
      <c r="B24" s="241" t="s">
        <v>550</v>
      </c>
      <c r="C24" s="249">
        <v>0</v>
      </c>
      <c r="D24" s="134">
        <f t="shared" ref="D24:D31" si="7">C$23*C24</f>
        <v>0</v>
      </c>
      <c r="E24" s="250">
        <v>10</v>
      </c>
      <c r="F24" s="134">
        <f t="shared" ref="F24:F31" si="8">D24*E24</f>
        <v>0</v>
      </c>
      <c r="G24" s="251">
        <v>0.1</v>
      </c>
      <c r="H24" s="134">
        <f t="shared" ref="H24:H31" si="9">(F24-F24*G24)</f>
        <v>0</v>
      </c>
    </row>
    <row r="25" spans="1:8" ht="15.75" customHeight="1" x14ac:dyDescent="0.25">
      <c r="A25" s="347"/>
      <c r="B25" s="241" t="s">
        <v>551</v>
      </c>
      <c r="C25" s="249">
        <v>0</v>
      </c>
      <c r="D25" s="134">
        <f t="shared" si="7"/>
        <v>0</v>
      </c>
      <c r="E25" s="250">
        <v>10</v>
      </c>
      <c r="F25" s="134">
        <f t="shared" si="8"/>
        <v>0</v>
      </c>
      <c r="G25" s="251">
        <v>0.1</v>
      </c>
      <c r="H25" s="134">
        <f t="shared" si="9"/>
        <v>0</v>
      </c>
    </row>
    <row r="26" spans="1:8" ht="15.75" customHeight="1" x14ac:dyDescent="0.25">
      <c r="A26" s="347"/>
      <c r="B26" s="241" t="s">
        <v>552</v>
      </c>
      <c r="C26" s="249">
        <v>0</v>
      </c>
      <c r="D26" s="134">
        <f t="shared" si="7"/>
        <v>0</v>
      </c>
      <c r="E26" s="250">
        <v>10</v>
      </c>
      <c r="F26" s="134">
        <f t="shared" si="8"/>
        <v>0</v>
      </c>
      <c r="G26" s="251">
        <v>0.05</v>
      </c>
      <c r="H26" s="134">
        <f t="shared" si="9"/>
        <v>0</v>
      </c>
    </row>
    <row r="27" spans="1:8" ht="15.75" customHeight="1" x14ac:dyDescent="0.25">
      <c r="A27" s="347"/>
      <c r="B27" s="241" t="s">
        <v>553</v>
      </c>
      <c r="C27" s="249">
        <v>0</v>
      </c>
      <c r="D27" s="134">
        <f t="shared" si="7"/>
        <v>0</v>
      </c>
      <c r="E27" s="250">
        <v>20</v>
      </c>
      <c r="F27" s="134">
        <f t="shared" si="8"/>
        <v>0</v>
      </c>
      <c r="G27" s="251">
        <v>0</v>
      </c>
      <c r="H27" s="134">
        <f t="shared" si="9"/>
        <v>0</v>
      </c>
    </row>
    <row r="28" spans="1:8" ht="15.75" customHeight="1" x14ac:dyDescent="0.25">
      <c r="A28" s="347"/>
      <c r="B28" s="241" t="s">
        <v>556</v>
      </c>
      <c r="C28" s="249">
        <v>0</v>
      </c>
      <c r="D28" s="134">
        <f t="shared" si="7"/>
        <v>0</v>
      </c>
      <c r="E28" s="250"/>
      <c r="F28" s="134">
        <f t="shared" si="8"/>
        <v>0</v>
      </c>
      <c r="G28" s="251">
        <v>0</v>
      </c>
      <c r="H28" s="134">
        <f t="shared" si="9"/>
        <v>0</v>
      </c>
    </row>
    <row r="29" spans="1:8" ht="15.75" customHeight="1" x14ac:dyDescent="0.25">
      <c r="A29" s="347"/>
      <c r="B29" s="241"/>
      <c r="C29" s="249">
        <v>0</v>
      </c>
      <c r="D29" s="134">
        <f t="shared" si="7"/>
        <v>0</v>
      </c>
      <c r="E29" s="250"/>
      <c r="F29" s="134">
        <f t="shared" si="8"/>
        <v>0</v>
      </c>
      <c r="G29" s="251">
        <v>0</v>
      </c>
      <c r="H29" s="134">
        <f t="shared" si="9"/>
        <v>0</v>
      </c>
    </row>
    <row r="30" spans="1:8" ht="15.75" customHeight="1" x14ac:dyDescent="0.25">
      <c r="A30" s="347"/>
      <c r="B30" s="241"/>
      <c r="C30" s="249">
        <v>0</v>
      </c>
      <c r="D30" s="134">
        <f t="shared" si="7"/>
        <v>0</v>
      </c>
      <c r="E30" s="250"/>
      <c r="F30" s="134">
        <f t="shared" si="8"/>
        <v>0</v>
      </c>
      <c r="G30" s="251">
        <v>0</v>
      </c>
      <c r="H30" s="134">
        <f t="shared" si="9"/>
        <v>0</v>
      </c>
    </row>
    <row r="31" spans="1:8" ht="15.75" customHeight="1" x14ac:dyDescent="0.25">
      <c r="A31" s="348"/>
      <c r="B31" s="241"/>
      <c r="C31" s="249">
        <v>0</v>
      </c>
      <c r="D31" s="134">
        <f t="shared" si="7"/>
        <v>0</v>
      </c>
      <c r="E31" s="250"/>
      <c r="F31" s="134">
        <f t="shared" si="8"/>
        <v>0</v>
      </c>
      <c r="G31" s="251">
        <v>0</v>
      </c>
      <c r="H31" s="134">
        <f t="shared" si="9"/>
        <v>0</v>
      </c>
    </row>
    <row r="32" spans="1:8" ht="15.75" customHeight="1" x14ac:dyDescent="0.25">
      <c r="A32" s="259" t="s">
        <v>557</v>
      </c>
      <c r="B32" s="249"/>
      <c r="C32" s="241">
        <f>B9*B32</f>
        <v>0</v>
      </c>
      <c r="D32" s="134"/>
      <c r="E32" s="250"/>
      <c r="F32" s="134"/>
      <c r="G32" s="251"/>
      <c r="H32" s="134"/>
    </row>
    <row r="33" spans="1:8" ht="15.75" customHeight="1" x14ac:dyDescent="0.25">
      <c r="A33" s="253" t="s">
        <v>534</v>
      </c>
      <c r="B33" s="241"/>
      <c r="C33" s="249">
        <v>0</v>
      </c>
      <c r="D33" s="134">
        <f t="shared" ref="D33:D36" si="10">C$32*C33</f>
        <v>0</v>
      </c>
      <c r="E33" s="250"/>
      <c r="F33" s="134">
        <f t="shared" ref="F33:F40" si="11">D33*E33</f>
        <v>0</v>
      </c>
      <c r="G33" s="251">
        <v>0</v>
      </c>
      <c r="H33" s="134">
        <f t="shared" ref="H33:H40" si="12">(F33-F33*G33)</f>
        <v>0</v>
      </c>
    </row>
    <row r="34" spans="1:8" ht="15.75" customHeight="1" x14ac:dyDescent="0.25">
      <c r="A34" s="8"/>
      <c r="B34" s="241"/>
      <c r="C34" s="249">
        <v>0</v>
      </c>
      <c r="D34" s="134">
        <f t="shared" si="10"/>
        <v>0</v>
      </c>
      <c r="E34" s="250"/>
      <c r="F34" s="134">
        <f t="shared" si="11"/>
        <v>0</v>
      </c>
      <c r="G34" s="251">
        <v>0</v>
      </c>
      <c r="H34" s="134">
        <f t="shared" si="12"/>
        <v>0</v>
      </c>
    </row>
    <row r="35" spans="1:8" ht="15.75" customHeight="1" x14ac:dyDescent="0.25">
      <c r="A35" s="8"/>
      <c r="B35" s="241"/>
      <c r="C35" s="249">
        <v>0</v>
      </c>
      <c r="D35" s="134">
        <f t="shared" si="10"/>
        <v>0</v>
      </c>
      <c r="E35" s="250"/>
      <c r="F35" s="134">
        <f t="shared" si="11"/>
        <v>0</v>
      </c>
      <c r="G35" s="251">
        <v>0</v>
      </c>
      <c r="H35" s="134">
        <f t="shared" si="12"/>
        <v>0</v>
      </c>
    </row>
    <row r="36" spans="1:8" ht="15.75" customHeight="1" x14ac:dyDescent="0.25">
      <c r="A36" s="254"/>
      <c r="B36" s="241"/>
      <c r="C36" s="249">
        <v>0</v>
      </c>
      <c r="D36" s="134">
        <f t="shared" si="10"/>
        <v>0</v>
      </c>
      <c r="E36" s="250"/>
      <c r="F36" s="134">
        <f t="shared" si="11"/>
        <v>0</v>
      </c>
      <c r="G36" s="251">
        <v>0</v>
      </c>
      <c r="H36" s="134">
        <f t="shared" si="12"/>
        <v>0</v>
      </c>
    </row>
    <row r="37" spans="1:8" ht="15.75" customHeight="1" x14ac:dyDescent="0.25">
      <c r="A37" s="398" t="s">
        <v>558</v>
      </c>
      <c r="B37" s="241" t="s">
        <v>326</v>
      </c>
      <c r="C37" s="249">
        <v>0</v>
      </c>
      <c r="D37" s="134">
        <f t="shared" ref="D37:D40" si="13">$B$9*C37</f>
        <v>0</v>
      </c>
      <c r="E37" s="250">
        <v>6</v>
      </c>
      <c r="F37" s="134">
        <f t="shared" si="11"/>
        <v>0</v>
      </c>
      <c r="G37" s="251">
        <v>0.05</v>
      </c>
      <c r="H37" s="134">
        <f t="shared" si="12"/>
        <v>0</v>
      </c>
    </row>
    <row r="38" spans="1:8" ht="15.75" customHeight="1" x14ac:dyDescent="0.25">
      <c r="A38" s="347"/>
      <c r="B38" s="241" t="s">
        <v>559</v>
      </c>
      <c r="C38" s="249">
        <v>0</v>
      </c>
      <c r="D38" s="134">
        <f t="shared" si="13"/>
        <v>0</v>
      </c>
      <c r="E38" s="250"/>
      <c r="F38" s="134">
        <f t="shared" si="11"/>
        <v>0</v>
      </c>
      <c r="G38" s="251">
        <v>0</v>
      </c>
      <c r="H38" s="134">
        <f t="shared" si="12"/>
        <v>0</v>
      </c>
    </row>
    <row r="39" spans="1:8" ht="15.75" customHeight="1" x14ac:dyDescent="0.25">
      <c r="A39" s="347"/>
      <c r="B39" s="241" t="s">
        <v>560</v>
      </c>
      <c r="C39" s="249">
        <v>0</v>
      </c>
      <c r="D39" s="134">
        <f t="shared" si="13"/>
        <v>0</v>
      </c>
      <c r="E39" s="250"/>
      <c r="F39" s="134">
        <f t="shared" si="11"/>
        <v>0</v>
      </c>
      <c r="G39" s="251">
        <v>0</v>
      </c>
      <c r="H39" s="134">
        <f t="shared" si="12"/>
        <v>0</v>
      </c>
    </row>
    <row r="40" spans="1:8" ht="15.75" customHeight="1" x14ac:dyDescent="0.25">
      <c r="A40" s="348"/>
      <c r="B40" s="241" t="s">
        <v>561</v>
      </c>
      <c r="C40" s="249">
        <v>0</v>
      </c>
      <c r="D40" s="134">
        <f t="shared" si="13"/>
        <v>0</v>
      </c>
      <c r="E40" s="250"/>
      <c r="F40" s="134">
        <f t="shared" si="11"/>
        <v>0</v>
      </c>
      <c r="G40" s="251">
        <v>0</v>
      </c>
      <c r="H40" s="134">
        <f t="shared" si="12"/>
        <v>0</v>
      </c>
    </row>
    <row r="41" spans="1:8" ht="15.75" customHeight="1" x14ac:dyDescent="0.25">
      <c r="A41" s="360" t="s">
        <v>535</v>
      </c>
      <c r="B41" s="338"/>
      <c r="C41" s="338"/>
      <c r="D41" s="338"/>
      <c r="E41" s="338"/>
      <c r="F41" s="338"/>
      <c r="G41" s="338"/>
      <c r="H41" s="338"/>
    </row>
    <row r="42" spans="1:8" ht="15.75" customHeight="1" x14ac:dyDescent="0.25"/>
    <row r="43" spans="1:8" ht="15.75" customHeight="1" x14ac:dyDescent="0.3">
      <c r="A43" s="396" t="s">
        <v>562</v>
      </c>
      <c r="B43" s="342"/>
      <c r="C43" s="342"/>
      <c r="D43" s="342"/>
      <c r="E43" s="342"/>
      <c r="F43" s="342"/>
      <c r="G43" s="342"/>
      <c r="H43" s="343"/>
    </row>
    <row r="44" spans="1:8" ht="15.75" customHeight="1" x14ac:dyDescent="0.25">
      <c r="A44" s="390" t="s">
        <v>148</v>
      </c>
      <c r="B44" s="255">
        <v>0.35</v>
      </c>
      <c r="C44" s="255">
        <f t="shared" ref="C44:H44" si="14">B44+0.05</f>
        <v>0.39999999999999997</v>
      </c>
      <c r="D44" s="255">
        <f t="shared" si="14"/>
        <v>0.44999999999999996</v>
      </c>
      <c r="E44" s="255">
        <f t="shared" si="14"/>
        <v>0.49999999999999994</v>
      </c>
      <c r="F44" s="255">
        <f t="shared" si="14"/>
        <v>0.54999999999999993</v>
      </c>
      <c r="G44" s="255">
        <f t="shared" si="14"/>
        <v>0.6</v>
      </c>
      <c r="H44" s="255">
        <f t="shared" si="14"/>
        <v>0.65</v>
      </c>
    </row>
    <row r="45" spans="1:8" ht="15.75" customHeight="1" x14ac:dyDescent="0.25">
      <c r="A45" s="348"/>
      <c r="B45" s="239" t="s">
        <v>151</v>
      </c>
      <c r="C45" s="239" t="s">
        <v>152</v>
      </c>
      <c r="D45" s="239" t="s">
        <v>153</v>
      </c>
      <c r="E45" s="239" t="s">
        <v>154</v>
      </c>
      <c r="F45" s="239" t="s">
        <v>155</v>
      </c>
      <c r="G45" s="239" t="s">
        <v>156</v>
      </c>
      <c r="H45" s="239" t="s">
        <v>157</v>
      </c>
    </row>
    <row r="46" spans="1:8" ht="15.75" customHeight="1" x14ac:dyDescent="0.25">
      <c r="A46" s="134" t="str">
        <f t="shared" ref="A46:A54" si="15">B14</f>
        <v>Onion</v>
      </c>
      <c r="B46" s="134">
        <f t="shared" ref="B46:B54" si="16">H14*$B$44</f>
        <v>0</v>
      </c>
      <c r="C46" s="134">
        <f t="shared" ref="C46:H46" si="17">(B46/B$44)*C$44</f>
        <v>0</v>
      </c>
      <c r="D46" s="134">
        <f t="shared" si="17"/>
        <v>0</v>
      </c>
      <c r="E46" s="134">
        <f t="shared" si="17"/>
        <v>0</v>
      </c>
      <c r="F46" s="134">
        <f t="shared" si="17"/>
        <v>0</v>
      </c>
      <c r="G46" s="134">
        <f t="shared" si="17"/>
        <v>0</v>
      </c>
      <c r="H46" s="134">
        <f t="shared" si="17"/>
        <v>0</v>
      </c>
    </row>
    <row r="47" spans="1:8" ht="15.75" customHeight="1" x14ac:dyDescent="0.25">
      <c r="A47" s="134" t="str">
        <f t="shared" si="15"/>
        <v>Tomato</v>
      </c>
      <c r="B47" s="134">
        <f t="shared" si="16"/>
        <v>0</v>
      </c>
      <c r="C47" s="134">
        <f t="shared" ref="C47:H47" si="18">(B47/B$44)*C$44</f>
        <v>0</v>
      </c>
      <c r="D47" s="134">
        <f t="shared" si="18"/>
        <v>0</v>
      </c>
      <c r="E47" s="134">
        <f t="shared" si="18"/>
        <v>0</v>
      </c>
      <c r="F47" s="134">
        <f t="shared" si="18"/>
        <v>0</v>
      </c>
      <c r="G47" s="134">
        <f t="shared" si="18"/>
        <v>0</v>
      </c>
      <c r="H47" s="134">
        <f t="shared" si="18"/>
        <v>0</v>
      </c>
    </row>
    <row r="48" spans="1:8" ht="15.75" customHeight="1" x14ac:dyDescent="0.25">
      <c r="A48" s="134" t="str">
        <f t="shared" si="15"/>
        <v>Okra</v>
      </c>
      <c r="B48" s="134">
        <f t="shared" si="16"/>
        <v>0</v>
      </c>
      <c r="C48" s="134">
        <f t="shared" ref="C48:H48" si="19">(B48/B$44)*C$44</f>
        <v>0</v>
      </c>
      <c r="D48" s="134">
        <f t="shared" si="19"/>
        <v>0</v>
      </c>
      <c r="E48" s="134">
        <f t="shared" si="19"/>
        <v>0</v>
      </c>
      <c r="F48" s="134">
        <f t="shared" si="19"/>
        <v>0</v>
      </c>
      <c r="G48" s="134">
        <f t="shared" si="19"/>
        <v>0</v>
      </c>
      <c r="H48" s="134">
        <f t="shared" si="19"/>
        <v>0</v>
      </c>
    </row>
    <row r="49" spans="1:8" ht="15.75" customHeight="1" x14ac:dyDescent="0.25">
      <c r="A49" s="134" t="str">
        <f t="shared" si="15"/>
        <v>Chilli</v>
      </c>
      <c r="B49" s="134">
        <f t="shared" si="16"/>
        <v>0</v>
      </c>
      <c r="C49" s="134">
        <f t="shared" ref="C49:H49" si="20">(B49/B$44)*C$44</f>
        <v>0</v>
      </c>
      <c r="D49" s="134">
        <f t="shared" si="20"/>
        <v>0</v>
      </c>
      <c r="E49" s="134">
        <f t="shared" si="20"/>
        <v>0</v>
      </c>
      <c r="F49" s="134">
        <f t="shared" si="20"/>
        <v>0</v>
      </c>
      <c r="G49" s="134">
        <f t="shared" si="20"/>
        <v>0</v>
      </c>
      <c r="H49" s="134">
        <f t="shared" si="20"/>
        <v>0</v>
      </c>
    </row>
    <row r="50" spans="1:8" ht="15.75" customHeight="1" x14ac:dyDescent="0.25">
      <c r="A50" s="134" t="str">
        <f t="shared" si="15"/>
        <v>Potato</v>
      </c>
      <c r="B50" s="134">
        <f t="shared" si="16"/>
        <v>0</v>
      </c>
      <c r="C50" s="134">
        <f t="shared" ref="C50:H50" si="21">(B50/B$44)*C$44</f>
        <v>0</v>
      </c>
      <c r="D50" s="134">
        <f t="shared" si="21"/>
        <v>0</v>
      </c>
      <c r="E50" s="134">
        <f t="shared" si="21"/>
        <v>0</v>
      </c>
      <c r="F50" s="134">
        <f t="shared" si="21"/>
        <v>0</v>
      </c>
      <c r="G50" s="134">
        <f t="shared" si="21"/>
        <v>0</v>
      </c>
      <c r="H50" s="134">
        <f t="shared" si="21"/>
        <v>0</v>
      </c>
    </row>
    <row r="51" spans="1:8" ht="15.75" customHeight="1" x14ac:dyDescent="0.25">
      <c r="A51" s="134">
        <f t="shared" si="15"/>
        <v>0</v>
      </c>
      <c r="B51" s="134">
        <f t="shared" si="16"/>
        <v>0</v>
      </c>
      <c r="C51" s="134">
        <f t="shared" ref="C51:H51" si="22">(B51/B$44)*C$44</f>
        <v>0</v>
      </c>
      <c r="D51" s="134">
        <f t="shared" si="22"/>
        <v>0</v>
      </c>
      <c r="E51" s="134">
        <f t="shared" si="22"/>
        <v>0</v>
      </c>
      <c r="F51" s="134">
        <f t="shared" si="22"/>
        <v>0</v>
      </c>
      <c r="G51" s="134">
        <f t="shared" si="22"/>
        <v>0</v>
      </c>
      <c r="H51" s="134">
        <f t="shared" si="22"/>
        <v>0</v>
      </c>
    </row>
    <row r="52" spans="1:8" ht="15.75" customHeight="1" x14ac:dyDescent="0.25">
      <c r="A52" s="134">
        <f t="shared" si="15"/>
        <v>0</v>
      </c>
      <c r="B52" s="134">
        <f t="shared" si="16"/>
        <v>0</v>
      </c>
      <c r="C52" s="134">
        <f t="shared" ref="C52:H52" si="23">(B52/B$44)*C$44</f>
        <v>0</v>
      </c>
      <c r="D52" s="134">
        <f t="shared" si="23"/>
        <v>0</v>
      </c>
      <c r="E52" s="134">
        <f t="shared" si="23"/>
        <v>0</v>
      </c>
      <c r="F52" s="134">
        <f t="shared" si="23"/>
        <v>0</v>
      </c>
      <c r="G52" s="134">
        <f t="shared" si="23"/>
        <v>0</v>
      </c>
      <c r="H52" s="134">
        <f t="shared" si="23"/>
        <v>0</v>
      </c>
    </row>
    <row r="53" spans="1:8" ht="15.75" customHeight="1" x14ac:dyDescent="0.25">
      <c r="A53" s="134">
        <f t="shared" si="15"/>
        <v>0</v>
      </c>
      <c r="B53" s="134">
        <f t="shared" si="16"/>
        <v>0</v>
      </c>
      <c r="C53" s="134">
        <f t="shared" ref="C53:H53" si="24">(B53/B$44)*C$44</f>
        <v>0</v>
      </c>
      <c r="D53" s="134">
        <f t="shared" si="24"/>
        <v>0</v>
      </c>
      <c r="E53" s="134">
        <f t="shared" si="24"/>
        <v>0</v>
      </c>
      <c r="F53" s="134">
        <f t="shared" si="24"/>
        <v>0</v>
      </c>
      <c r="G53" s="134">
        <f t="shared" si="24"/>
        <v>0</v>
      </c>
      <c r="H53" s="134">
        <f t="shared" si="24"/>
        <v>0</v>
      </c>
    </row>
    <row r="54" spans="1:8" ht="15.75" customHeight="1" x14ac:dyDescent="0.25">
      <c r="A54" s="134">
        <f t="shared" si="15"/>
        <v>0</v>
      </c>
      <c r="B54" s="134">
        <f t="shared" si="16"/>
        <v>0</v>
      </c>
      <c r="C54" s="134">
        <f t="shared" ref="C54:H54" si="25">(B54/B$44)*C$44</f>
        <v>0</v>
      </c>
      <c r="D54" s="134">
        <f t="shared" si="25"/>
        <v>0</v>
      </c>
      <c r="E54" s="134">
        <f t="shared" si="25"/>
        <v>0</v>
      </c>
      <c r="F54" s="134">
        <f t="shared" si="25"/>
        <v>0</v>
      </c>
      <c r="G54" s="134">
        <f t="shared" si="25"/>
        <v>0</v>
      </c>
      <c r="H54" s="134">
        <f t="shared" si="25"/>
        <v>0</v>
      </c>
    </row>
    <row r="55" spans="1:8" ht="15.75" customHeight="1" x14ac:dyDescent="0.25">
      <c r="A55" s="134" t="str">
        <f t="shared" ref="A55:A62" si="26">B24</f>
        <v>Onion</v>
      </c>
      <c r="B55" s="134">
        <f t="shared" ref="B55:B62" si="27">H24*$B$44</f>
        <v>0</v>
      </c>
      <c r="C55" s="134">
        <f t="shared" ref="C55:H55" si="28">(B55/B$44)*C$44</f>
        <v>0</v>
      </c>
      <c r="D55" s="134">
        <f t="shared" si="28"/>
        <v>0</v>
      </c>
      <c r="E55" s="134">
        <f t="shared" si="28"/>
        <v>0</v>
      </c>
      <c r="F55" s="134">
        <f t="shared" si="28"/>
        <v>0</v>
      </c>
      <c r="G55" s="134">
        <f t="shared" si="28"/>
        <v>0</v>
      </c>
      <c r="H55" s="134">
        <f t="shared" si="28"/>
        <v>0</v>
      </c>
    </row>
    <row r="56" spans="1:8" ht="15.75" customHeight="1" x14ac:dyDescent="0.25">
      <c r="A56" s="134" t="str">
        <f t="shared" si="26"/>
        <v>Tomato</v>
      </c>
      <c r="B56" s="134">
        <f t="shared" si="27"/>
        <v>0</v>
      </c>
      <c r="C56" s="134">
        <f t="shared" ref="C56:H56" si="29">(B56/B$44)*C$44</f>
        <v>0</v>
      </c>
      <c r="D56" s="134">
        <f t="shared" si="29"/>
        <v>0</v>
      </c>
      <c r="E56" s="134">
        <f t="shared" si="29"/>
        <v>0</v>
      </c>
      <c r="F56" s="134">
        <f t="shared" si="29"/>
        <v>0</v>
      </c>
      <c r="G56" s="134">
        <f t="shared" si="29"/>
        <v>0</v>
      </c>
      <c r="H56" s="134">
        <f t="shared" si="29"/>
        <v>0</v>
      </c>
    </row>
    <row r="57" spans="1:8" ht="15.75" customHeight="1" x14ac:dyDescent="0.25">
      <c r="A57" s="134" t="str">
        <f t="shared" si="26"/>
        <v>Okra</v>
      </c>
      <c r="B57" s="134">
        <f t="shared" si="27"/>
        <v>0</v>
      </c>
      <c r="C57" s="134">
        <f t="shared" ref="C57:H57" si="30">(B57/B$44)*C$44</f>
        <v>0</v>
      </c>
      <c r="D57" s="134">
        <f t="shared" si="30"/>
        <v>0</v>
      </c>
      <c r="E57" s="134">
        <f t="shared" si="30"/>
        <v>0</v>
      </c>
      <c r="F57" s="134">
        <f t="shared" si="30"/>
        <v>0</v>
      </c>
      <c r="G57" s="134">
        <f t="shared" si="30"/>
        <v>0</v>
      </c>
      <c r="H57" s="134">
        <f t="shared" si="30"/>
        <v>0</v>
      </c>
    </row>
    <row r="58" spans="1:8" ht="15.75" customHeight="1" x14ac:dyDescent="0.25">
      <c r="A58" s="134" t="str">
        <f t="shared" si="26"/>
        <v>Chilli</v>
      </c>
      <c r="B58" s="134">
        <f t="shared" si="27"/>
        <v>0</v>
      </c>
      <c r="C58" s="134">
        <f t="shared" ref="C58:H58" si="31">(B58/B$44)*C$44</f>
        <v>0</v>
      </c>
      <c r="D58" s="134">
        <f t="shared" si="31"/>
        <v>0</v>
      </c>
      <c r="E58" s="134">
        <f t="shared" si="31"/>
        <v>0</v>
      </c>
      <c r="F58" s="134">
        <f t="shared" si="31"/>
        <v>0</v>
      </c>
      <c r="G58" s="134">
        <f t="shared" si="31"/>
        <v>0</v>
      </c>
      <c r="H58" s="134">
        <f t="shared" si="31"/>
        <v>0</v>
      </c>
    </row>
    <row r="59" spans="1:8" ht="15.75" customHeight="1" x14ac:dyDescent="0.25">
      <c r="A59" s="134" t="str">
        <f t="shared" si="26"/>
        <v>Brinjal</v>
      </c>
      <c r="B59" s="134">
        <f t="shared" si="27"/>
        <v>0</v>
      </c>
      <c r="C59" s="134">
        <f t="shared" ref="C59:H59" si="32">(B59/B$44)*C$44</f>
        <v>0</v>
      </c>
      <c r="D59" s="134">
        <f t="shared" si="32"/>
        <v>0</v>
      </c>
      <c r="E59" s="134">
        <f t="shared" si="32"/>
        <v>0</v>
      </c>
      <c r="F59" s="134">
        <f t="shared" si="32"/>
        <v>0</v>
      </c>
      <c r="G59" s="134">
        <f t="shared" si="32"/>
        <v>0</v>
      </c>
      <c r="H59" s="134">
        <f t="shared" si="32"/>
        <v>0</v>
      </c>
    </row>
    <row r="60" spans="1:8" ht="15.75" customHeight="1" x14ac:dyDescent="0.25">
      <c r="A60" s="134">
        <f t="shared" si="26"/>
        <v>0</v>
      </c>
      <c r="B60" s="134">
        <f t="shared" si="27"/>
        <v>0</v>
      </c>
      <c r="C60" s="134">
        <f t="shared" ref="C60:H60" si="33">(B60/B$44)*C$44</f>
        <v>0</v>
      </c>
      <c r="D60" s="134">
        <f t="shared" si="33"/>
        <v>0</v>
      </c>
      <c r="E60" s="134">
        <f t="shared" si="33"/>
        <v>0</v>
      </c>
      <c r="F60" s="134">
        <f t="shared" si="33"/>
        <v>0</v>
      </c>
      <c r="G60" s="134">
        <f t="shared" si="33"/>
        <v>0</v>
      </c>
      <c r="H60" s="134">
        <f t="shared" si="33"/>
        <v>0</v>
      </c>
    </row>
    <row r="61" spans="1:8" ht="15.75" customHeight="1" x14ac:dyDescent="0.25">
      <c r="A61" s="134">
        <f t="shared" si="26"/>
        <v>0</v>
      </c>
      <c r="B61" s="134">
        <f t="shared" si="27"/>
        <v>0</v>
      </c>
      <c r="C61" s="134">
        <f t="shared" ref="C61:H61" si="34">(B61/B$44)*C$44</f>
        <v>0</v>
      </c>
      <c r="D61" s="134">
        <f t="shared" si="34"/>
        <v>0</v>
      </c>
      <c r="E61" s="134">
        <f t="shared" si="34"/>
        <v>0</v>
      </c>
      <c r="F61" s="134">
        <f t="shared" si="34"/>
        <v>0</v>
      </c>
      <c r="G61" s="134">
        <f t="shared" si="34"/>
        <v>0</v>
      </c>
      <c r="H61" s="134">
        <f t="shared" si="34"/>
        <v>0</v>
      </c>
    </row>
    <row r="62" spans="1:8" ht="15.75" customHeight="1" x14ac:dyDescent="0.25">
      <c r="A62" s="134">
        <f t="shared" si="26"/>
        <v>0</v>
      </c>
      <c r="B62" s="134">
        <f t="shared" si="27"/>
        <v>0</v>
      </c>
      <c r="C62" s="134">
        <f t="shared" ref="C62:H62" si="35">(B62/B$44)*C$44</f>
        <v>0</v>
      </c>
      <c r="D62" s="134">
        <f t="shared" si="35"/>
        <v>0</v>
      </c>
      <c r="E62" s="134">
        <f t="shared" si="35"/>
        <v>0</v>
      </c>
      <c r="F62" s="134">
        <f t="shared" si="35"/>
        <v>0</v>
      </c>
      <c r="G62" s="134">
        <f t="shared" si="35"/>
        <v>0</v>
      </c>
      <c r="H62" s="134">
        <f t="shared" si="35"/>
        <v>0</v>
      </c>
    </row>
    <row r="63" spans="1:8" ht="15.75" customHeight="1" x14ac:dyDescent="0.25">
      <c r="A63" s="134">
        <f t="shared" ref="A63:A70" si="36">B33</f>
        <v>0</v>
      </c>
      <c r="B63" s="134">
        <f t="shared" ref="B63:B70" si="37">H33*$B$44</f>
        <v>0</v>
      </c>
      <c r="C63" s="134">
        <f t="shared" ref="C63:H63" si="38">(B63/B$44)*C$44</f>
        <v>0</v>
      </c>
      <c r="D63" s="134">
        <f t="shared" si="38"/>
        <v>0</v>
      </c>
      <c r="E63" s="134">
        <f t="shared" si="38"/>
        <v>0</v>
      </c>
      <c r="F63" s="134">
        <f t="shared" si="38"/>
        <v>0</v>
      </c>
      <c r="G63" s="134">
        <f t="shared" si="38"/>
        <v>0</v>
      </c>
      <c r="H63" s="134">
        <f t="shared" si="38"/>
        <v>0</v>
      </c>
    </row>
    <row r="64" spans="1:8" ht="15.75" customHeight="1" x14ac:dyDescent="0.25">
      <c r="A64" s="134">
        <f t="shared" si="36"/>
        <v>0</v>
      </c>
      <c r="B64" s="134">
        <f t="shared" si="37"/>
        <v>0</v>
      </c>
      <c r="C64" s="134">
        <f t="shared" ref="C64:H64" si="39">(B64/B$44)*C$44</f>
        <v>0</v>
      </c>
      <c r="D64" s="134">
        <f t="shared" si="39"/>
        <v>0</v>
      </c>
      <c r="E64" s="134">
        <f t="shared" si="39"/>
        <v>0</v>
      </c>
      <c r="F64" s="134">
        <f t="shared" si="39"/>
        <v>0</v>
      </c>
      <c r="G64" s="134">
        <f t="shared" si="39"/>
        <v>0</v>
      </c>
      <c r="H64" s="134">
        <f t="shared" si="39"/>
        <v>0</v>
      </c>
    </row>
    <row r="65" spans="1:26" ht="15.75" customHeight="1" x14ac:dyDescent="0.25">
      <c r="A65" s="134">
        <f t="shared" si="36"/>
        <v>0</v>
      </c>
      <c r="B65" s="134">
        <f t="shared" si="37"/>
        <v>0</v>
      </c>
      <c r="C65" s="134">
        <f t="shared" ref="C65:H65" si="40">(B65/B$44)*C$44</f>
        <v>0</v>
      </c>
      <c r="D65" s="134">
        <f t="shared" si="40"/>
        <v>0</v>
      </c>
      <c r="E65" s="134">
        <f t="shared" si="40"/>
        <v>0</v>
      </c>
      <c r="F65" s="134">
        <f t="shared" si="40"/>
        <v>0</v>
      </c>
      <c r="G65" s="134">
        <f t="shared" si="40"/>
        <v>0</v>
      </c>
      <c r="H65" s="134">
        <f t="shared" si="40"/>
        <v>0</v>
      </c>
    </row>
    <row r="66" spans="1:26" ht="15.75" customHeight="1" x14ac:dyDescent="0.25">
      <c r="A66" s="134">
        <f t="shared" si="36"/>
        <v>0</v>
      </c>
      <c r="B66" s="134">
        <f t="shared" si="37"/>
        <v>0</v>
      </c>
      <c r="C66" s="134">
        <f t="shared" ref="C66:H66" si="41">(B66/B$44)*C$44</f>
        <v>0</v>
      </c>
      <c r="D66" s="134">
        <f t="shared" si="41"/>
        <v>0</v>
      </c>
      <c r="E66" s="134">
        <f t="shared" si="41"/>
        <v>0</v>
      </c>
      <c r="F66" s="134">
        <f t="shared" si="41"/>
        <v>0</v>
      </c>
      <c r="G66" s="134">
        <f t="shared" si="41"/>
        <v>0</v>
      </c>
      <c r="H66" s="134">
        <f t="shared" si="41"/>
        <v>0</v>
      </c>
    </row>
    <row r="67" spans="1:26" ht="15.75" customHeight="1" x14ac:dyDescent="0.25">
      <c r="A67" s="134" t="str">
        <f t="shared" si="36"/>
        <v>Pomegranate</v>
      </c>
      <c r="B67" s="134">
        <f t="shared" si="37"/>
        <v>0</v>
      </c>
      <c r="C67" s="134">
        <f t="shared" ref="C67:H67" si="42">(B67/B$44)*C$44</f>
        <v>0</v>
      </c>
      <c r="D67" s="134">
        <f t="shared" si="42"/>
        <v>0</v>
      </c>
      <c r="E67" s="134">
        <f t="shared" si="42"/>
        <v>0</v>
      </c>
      <c r="F67" s="134">
        <f t="shared" si="42"/>
        <v>0</v>
      </c>
      <c r="G67" s="134">
        <f t="shared" si="42"/>
        <v>0</v>
      </c>
      <c r="H67" s="134">
        <f t="shared" si="42"/>
        <v>0</v>
      </c>
    </row>
    <row r="68" spans="1:26" ht="15.75" customHeight="1" x14ac:dyDescent="0.25">
      <c r="A68" s="134" t="str">
        <f t="shared" si="36"/>
        <v>Custard Apple</v>
      </c>
      <c r="B68" s="134">
        <f t="shared" si="37"/>
        <v>0</v>
      </c>
      <c r="C68" s="134">
        <f t="shared" ref="C68:H68" si="43">(B68/B$44)*C$44</f>
        <v>0</v>
      </c>
      <c r="D68" s="134">
        <f t="shared" si="43"/>
        <v>0</v>
      </c>
      <c r="E68" s="134">
        <f t="shared" si="43"/>
        <v>0</v>
      </c>
      <c r="F68" s="134">
        <f t="shared" si="43"/>
        <v>0</v>
      </c>
      <c r="G68" s="134">
        <f t="shared" si="43"/>
        <v>0</v>
      </c>
      <c r="H68" s="134">
        <f t="shared" si="43"/>
        <v>0</v>
      </c>
    </row>
    <row r="69" spans="1:26" ht="15.75" customHeight="1" x14ac:dyDescent="0.25">
      <c r="A69" s="134" t="str">
        <f t="shared" si="36"/>
        <v>Guava</v>
      </c>
      <c r="B69" s="134">
        <f t="shared" si="37"/>
        <v>0</v>
      </c>
      <c r="C69" s="134">
        <f t="shared" ref="C69:H69" si="44">(B69/B$44)*C$44</f>
        <v>0</v>
      </c>
      <c r="D69" s="134">
        <f t="shared" si="44"/>
        <v>0</v>
      </c>
      <c r="E69" s="134">
        <f t="shared" si="44"/>
        <v>0</v>
      </c>
      <c r="F69" s="134">
        <f t="shared" si="44"/>
        <v>0</v>
      </c>
      <c r="G69" s="134">
        <f t="shared" si="44"/>
        <v>0</v>
      </c>
      <c r="H69" s="134">
        <f t="shared" si="44"/>
        <v>0</v>
      </c>
    </row>
    <row r="70" spans="1:26" ht="15.75" customHeight="1" x14ac:dyDescent="0.25">
      <c r="A70" s="134" t="str">
        <f t="shared" si="36"/>
        <v>Citrus</v>
      </c>
      <c r="B70" s="134">
        <f t="shared" si="37"/>
        <v>0</v>
      </c>
      <c r="C70" s="134">
        <f t="shared" ref="C70:H70" si="45">(B70/B$44)*C$44</f>
        <v>0</v>
      </c>
      <c r="D70" s="134">
        <f t="shared" si="45"/>
        <v>0</v>
      </c>
      <c r="E70" s="134">
        <f t="shared" si="45"/>
        <v>0</v>
      </c>
      <c r="F70" s="134">
        <f t="shared" si="45"/>
        <v>0</v>
      </c>
      <c r="G70" s="134">
        <f t="shared" si="45"/>
        <v>0</v>
      </c>
      <c r="H70" s="134">
        <f t="shared" si="45"/>
        <v>0</v>
      </c>
    </row>
    <row r="71" spans="1:26" ht="15.75" customHeight="1" x14ac:dyDescent="0.3">
      <c r="A71" s="391" t="s">
        <v>563</v>
      </c>
      <c r="B71" s="342"/>
      <c r="C71" s="342"/>
      <c r="D71" s="342"/>
      <c r="E71" s="342"/>
      <c r="F71" s="342"/>
      <c r="G71" s="342"/>
      <c r="H71" s="343"/>
    </row>
    <row r="72" spans="1:26" ht="15.75" customHeight="1" x14ac:dyDescent="0.25">
      <c r="A72" s="397" t="s">
        <v>148</v>
      </c>
      <c r="B72" s="256">
        <v>0.05</v>
      </c>
      <c r="C72" s="256">
        <f t="shared" ref="C72:H72" si="46">B72+0.05</f>
        <v>0.1</v>
      </c>
      <c r="D72" s="256">
        <f t="shared" si="46"/>
        <v>0.15000000000000002</v>
      </c>
      <c r="E72" s="256">
        <f t="shared" si="46"/>
        <v>0.2</v>
      </c>
      <c r="F72" s="256">
        <f t="shared" si="46"/>
        <v>0.25</v>
      </c>
      <c r="G72" s="256">
        <f t="shared" si="46"/>
        <v>0.3</v>
      </c>
      <c r="H72" s="256">
        <f t="shared" si="46"/>
        <v>0.35</v>
      </c>
    </row>
    <row r="73" spans="1:26" ht="15.75" customHeight="1" x14ac:dyDescent="0.25">
      <c r="A73" s="348"/>
      <c r="B73" s="239" t="s">
        <v>151</v>
      </c>
      <c r="C73" s="239" t="s">
        <v>152</v>
      </c>
      <c r="D73" s="239" t="s">
        <v>153</v>
      </c>
      <c r="E73" s="239" t="s">
        <v>154</v>
      </c>
      <c r="F73" s="239" t="s">
        <v>155</v>
      </c>
      <c r="G73" s="239" t="s">
        <v>156</v>
      </c>
      <c r="H73" s="239" t="s">
        <v>157</v>
      </c>
    </row>
    <row r="74" spans="1:26" ht="15.75" customHeight="1" x14ac:dyDescent="0.25">
      <c r="A74" s="134" t="str">
        <f t="shared" ref="A74:A98" si="47">A46</f>
        <v>Onion</v>
      </c>
      <c r="B74" s="134">
        <f t="shared" ref="B74:H74" si="48">H14*$B$72</f>
        <v>0</v>
      </c>
      <c r="C74" s="134">
        <f t="shared" si="48"/>
        <v>0</v>
      </c>
      <c r="D74" s="134">
        <f t="shared" si="48"/>
        <v>0</v>
      </c>
      <c r="E74" s="134">
        <f t="shared" si="48"/>
        <v>0</v>
      </c>
      <c r="F74" s="134">
        <f t="shared" si="48"/>
        <v>0</v>
      </c>
      <c r="G74" s="134">
        <f t="shared" si="48"/>
        <v>0</v>
      </c>
      <c r="H74" s="134">
        <f t="shared" si="48"/>
        <v>0</v>
      </c>
      <c r="I74" s="79"/>
      <c r="J74" s="79"/>
      <c r="K74" s="79"/>
      <c r="L74" s="79"/>
      <c r="M74" s="79"/>
      <c r="N74" s="79"/>
      <c r="O74" s="79"/>
      <c r="P74" s="79"/>
      <c r="Q74" s="79"/>
      <c r="R74" s="79"/>
      <c r="S74" s="79"/>
      <c r="T74" s="79"/>
      <c r="U74" s="79"/>
      <c r="V74" s="79"/>
      <c r="W74" s="79"/>
      <c r="X74" s="79"/>
      <c r="Y74" s="79"/>
      <c r="Z74" s="79"/>
    </row>
    <row r="75" spans="1:26" ht="15.75" customHeight="1" x14ac:dyDescent="0.25">
      <c r="A75" s="134" t="str">
        <f t="shared" si="47"/>
        <v>Tomato</v>
      </c>
      <c r="B75" s="134">
        <f>H15*$B$72*0</f>
        <v>0</v>
      </c>
      <c r="C75" s="134">
        <f t="shared" ref="C75:H75" si="49">(B75/B72)*C72</f>
        <v>0</v>
      </c>
      <c r="D75" s="134">
        <f t="shared" si="49"/>
        <v>0</v>
      </c>
      <c r="E75" s="134">
        <f t="shared" si="49"/>
        <v>0</v>
      </c>
      <c r="F75" s="134">
        <f t="shared" si="49"/>
        <v>0</v>
      </c>
      <c r="G75" s="134">
        <f t="shared" si="49"/>
        <v>0</v>
      </c>
      <c r="H75" s="134">
        <f t="shared" si="49"/>
        <v>0</v>
      </c>
    </row>
    <row r="76" spans="1:26" ht="15.75" customHeight="1" x14ac:dyDescent="0.25">
      <c r="A76" s="134" t="str">
        <f t="shared" si="47"/>
        <v>Okra</v>
      </c>
      <c r="B76" s="134">
        <f>H16*$B$72</f>
        <v>0</v>
      </c>
      <c r="C76" s="134">
        <f t="shared" ref="C76:H76" si="50">(B76/B72)*C72</f>
        <v>0</v>
      </c>
      <c r="D76" s="134">
        <f t="shared" si="50"/>
        <v>0</v>
      </c>
      <c r="E76" s="134">
        <f t="shared" si="50"/>
        <v>0</v>
      </c>
      <c r="F76" s="134">
        <f t="shared" si="50"/>
        <v>0</v>
      </c>
      <c r="G76" s="134">
        <f t="shared" si="50"/>
        <v>0</v>
      </c>
      <c r="H76" s="134">
        <f t="shared" si="50"/>
        <v>0</v>
      </c>
    </row>
    <row r="77" spans="1:26" ht="15.75" customHeight="1" x14ac:dyDescent="0.25">
      <c r="A77" s="134" t="str">
        <f t="shared" si="47"/>
        <v>Chilli</v>
      </c>
      <c r="B77" s="134">
        <f>H17*$B$72*0</f>
        <v>0</v>
      </c>
      <c r="C77" s="134">
        <f t="shared" ref="C77:H77" si="51">(B77/B$72)*C$72</f>
        <v>0</v>
      </c>
      <c r="D77" s="134">
        <f t="shared" si="51"/>
        <v>0</v>
      </c>
      <c r="E77" s="134">
        <f t="shared" si="51"/>
        <v>0</v>
      </c>
      <c r="F77" s="134">
        <f t="shared" si="51"/>
        <v>0</v>
      </c>
      <c r="G77" s="134">
        <f t="shared" si="51"/>
        <v>0</v>
      </c>
      <c r="H77" s="134">
        <f t="shared" si="51"/>
        <v>0</v>
      </c>
    </row>
    <row r="78" spans="1:26" ht="15.75" customHeight="1" x14ac:dyDescent="0.25">
      <c r="A78" s="134" t="str">
        <f t="shared" si="47"/>
        <v>Potato</v>
      </c>
      <c r="B78" s="134">
        <f>H18*$B$72</f>
        <v>0</v>
      </c>
      <c r="C78" s="134">
        <f t="shared" ref="C78:H78" si="52">(B78/B$72)*C$72</f>
        <v>0</v>
      </c>
      <c r="D78" s="134">
        <f t="shared" si="52"/>
        <v>0</v>
      </c>
      <c r="E78" s="134">
        <f t="shared" si="52"/>
        <v>0</v>
      </c>
      <c r="F78" s="134">
        <f t="shared" si="52"/>
        <v>0</v>
      </c>
      <c r="G78" s="134">
        <f t="shared" si="52"/>
        <v>0</v>
      </c>
      <c r="H78" s="134">
        <f t="shared" si="52"/>
        <v>0</v>
      </c>
    </row>
    <row r="79" spans="1:26" ht="15.75" customHeight="1" x14ac:dyDescent="0.25">
      <c r="A79" s="134">
        <f t="shared" si="47"/>
        <v>0</v>
      </c>
      <c r="B79" s="134">
        <f t="shared" ref="B79:B80" si="53">H19*$B$72*0</f>
        <v>0</v>
      </c>
      <c r="C79" s="134">
        <f t="shared" ref="C79:H79" si="54">(B79/B$72)*C$72</f>
        <v>0</v>
      </c>
      <c r="D79" s="134">
        <f t="shared" si="54"/>
        <v>0</v>
      </c>
      <c r="E79" s="134">
        <f t="shared" si="54"/>
        <v>0</v>
      </c>
      <c r="F79" s="134">
        <f t="shared" si="54"/>
        <v>0</v>
      </c>
      <c r="G79" s="134">
        <f t="shared" si="54"/>
        <v>0</v>
      </c>
      <c r="H79" s="134">
        <f t="shared" si="54"/>
        <v>0</v>
      </c>
    </row>
    <row r="80" spans="1:26" ht="15.75" customHeight="1" x14ac:dyDescent="0.25">
      <c r="A80" s="134">
        <f t="shared" si="47"/>
        <v>0</v>
      </c>
      <c r="B80" s="134">
        <f t="shared" si="53"/>
        <v>0</v>
      </c>
      <c r="C80" s="134">
        <f t="shared" ref="C80:H80" si="55">(B80/B$72)*C$72</f>
        <v>0</v>
      </c>
      <c r="D80" s="134">
        <f t="shared" si="55"/>
        <v>0</v>
      </c>
      <c r="E80" s="134">
        <f t="shared" si="55"/>
        <v>0</v>
      </c>
      <c r="F80" s="134">
        <f t="shared" si="55"/>
        <v>0</v>
      </c>
      <c r="G80" s="134">
        <f t="shared" si="55"/>
        <v>0</v>
      </c>
      <c r="H80" s="134">
        <f t="shared" si="55"/>
        <v>0</v>
      </c>
    </row>
    <row r="81" spans="1:8" ht="15.75" customHeight="1" x14ac:dyDescent="0.25">
      <c r="A81" s="134">
        <f t="shared" si="47"/>
        <v>0</v>
      </c>
      <c r="B81" s="134">
        <f t="shared" ref="B81:B82" si="56">H21*$B$72</f>
        <v>0</v>
      </c>
      <c r="C81" s="134">
        <f t="shared" ref="C81:H81" si="57">(B81/B$72)*C$72</f>
        <v>0</v>
      </c>
      <c r="D81" s="134">
        <f t="shared" si="57"/>
        <v>0</v>
      </c>
      <c r="E81" s="134">
        <f t="shared" si="57"/>
        <v>0</v>
      </c>
      <c r="F81" s="134">
        <f t="shared" si="57"/>
        <v>0</v>
      </c>
      <c r="G81" s="134">
        <f t="shared" si="57"/>
        <v>0</v>
      </c>
      <c r="H81" s="134">
        <f t="shared" si="57"/>
        <v>0</v>
      </c>
    </row>
    <row r="82" spans="1:8" ht="15.75" customHeight="1" x14ac:dyDescent="0.25">
      <c r="A82" s="134">
        <f t="shared" si="47"/>
        <v>0</v>
      </c>
      <c r="B82" s="134">
        <f t="shared" si="56"/>
        <v>0</v>
      </c>
      <c r="C82" s="134">
        <f t="shared" ref="C82:H82" si="58">(B82/B$72)*C$72</f>
        <v>0</v>
      </c>
      <c r="D82" s="134">
        <f t="shared" si="58"/>
        <v>0</v>
      </c>
      <c r="E82" s="134">
        <f t="shared" si="58"/>
        <v>0</v>
      </c>
      <c r="F82" s="134">
        <f t="shared" si="58"/>
        <v>0</v>
      </c>
      <c r="G82" s="134">
        <f t="shared" si="58"/>
        <v>0</v>
      </c>
      <c r="H82" s="134">
        <f t="shared" si="58"/>
        <v>0</v>
      </c>
    </row>
    <row r="83" spans="1:8" ht="15.75" customHeight="1" x14ac:dyDescent="0.25">
      <c r="A83" s="134" t="str">
        <f t="shared" si="47"/>
        <v>Onion</v>
      </c>
      <c r="B83" s="134">
        <f t="shared" ref="B83:B90" si="59">H24*$B$72</f>
        <v>0</v>
      </c>
      <c r="C83" s="134">
        <f t="shared" ref="C83:H83" si="60">(B83/B$72)*C$72</f>
        <v>0</v>
      </c>
      <c r="D83" s="134">
        <f t="shared" si="60"/>
        <v>0</v>
      </c>
      <c r="E83" s="134">
        <f t="shared" si="60"/>
        <v>0</v>
      </c>
      <c r="F83" s="134">
        <f t="shared" si="60"/>
        <v>0</v>
      </c>
      <c r="G83" s="134">
        <f t="shared" si="60"/>
        <v>0</v>
      </c>
      <c r="H83" s="134">
        <f t="shared" si="60"/>
        <v>0</v>
      </c>
    </row>
    <row r="84" spans="1:8" ht="15.75" customHeight="1" x14ac:dyDescent="0.25">
      <c r="A84" s="134" t="str">
        <f t="shared" si="47"/>
        <v>Tomato</v>
      </c>
      <c r="B84" s="134">
        <f t="shared" si="59"/>
        <v>0</v>
      </c>
      <c r="C84" s="134">
        <f t="shared" ref="C84:H84" si="61">(B84/B$72)*C$72</f>
        <v>0</v>
      </c>
      <c r="D84" s="134">
        <f t="shared" si="61"/>
        <v>0</v>
      </c>
      <c r="E84" s="134">
        <f t="shared" si="61"/>
        <v>0</v>
      </c>
      <c r="F84" s="134">
        <f t="shared" si="61"/>
        <v>0</v>
      </c>
      <c r="G84" s="134">
        <f t="shared" si="61"/>
        <v>0</v>
      </c>
      <c r="H84" s="134">
        <f t="shared" si="61"/>
        <v>0</v>
      </c>
    </row>
    <row r="85" spans="1:8" ht="15.75" customHeight="1" x14ac:dyDescent="0.25">
      <c r="A85" s="134" t="str">
        <f t="shared" si="47"/>
        <v>Okra</v>
      </c>
      <c r="B85" s="134">
        <f t="shared" si="59"/>
        <v>0</v>
      </c>
      <c r="C85" s="134">
        <f t="shared" ref="C85:H85" si="62">(B85/B$72)*C$72</f>
        <v>0</v>
      </c>
      <c r="D85" s="134">
        <f t="shared" si="62"/>
        <v>0</v>
      </c>
      <c r="E85" s="134">
        <f t="shared" si="62"/>
        <v>0</v>
      </c>
      <c r="F85" s="134">
        <f t="shared" si="62"/>
        <v>0</v>
      </c>
      <c r="G85" s="134">
        <f t="shared" si="62"/>
        <v>0</v>
      </c>
      <c r="H85" s="134">
        <f t="shared" si="62"/>
        <v>0</v>
      </c>
    </row>
    <row r="86" spans="1:8" ht="15.75" customHeight="1" x14ac:dyDescent="0.25">
      <c r="A86" s="134" t="str">
        <f t="shared" si="47"/>
        <v>Chilli</v>
      </c>
      <c r="B86" s="134">
        <f t="shared" si="59"/>
        <v>0</v>
      </c>
      <c r="C86" s="134">
        <f t="shared" ref="C86:H86" si="63">(B86/B$72)*C$72</f>
        <v>0</v>
      </c>
      <c r="D86" s="134">
        <f t="shared" si="63"/>
        <v>0</v>
      </c>
      <c r="E86" s="134">
        <f t="shared" si="63"/>
        <v>0</v>
      </c>
      <c r="F86" s="134">
        <f t="shared" si="63"/>
        <v>0</v>
      </c>
      <c r="G86" s="134">
        <f t="shared" si="63"/>
        <v>0</v>
      </c>
      <c r="H86" s="134">
        <f t="shared" si="63"/>
        <v>0</v>
      </c>
    </row>
    <row r="87" spans="1:8" ht="15.75" customHeight="1" x14ac:dyDescent="0.25">
      <c r="A87" s="134" t="str">
        <f t="shared" si="47"/>
        <v>Brinjal</v>
      </c>
      <c r="B87" s="134">
        <f t="shared" si="59"/>
        <v>0</v>
      </c>
      <c r="C87" s="134">
        <f t="shared" ref="C87:H87" si="64">(B87/B$72)*C$72</f>
        <v>0</v>
      </c>
      <c r="D87" s="134">
        <f t="shared" si="64"/>
        <v>0</v>
      </c>
      <c r="E87" s="134">
        <f t="shared" si="64"/>
        <v>0</v>
      </c>
      <c r="F87" s="134">
        <f t="shared" si="64"/>
        <v>0</v>
      </c>
      <c r="G87" s="134">
        <f t="shared" si="64"/>
        <v>0</v>
      </c>
      <c r="H87" s="134">
        <f t="shared" si="64"/>
        <v>0</v>
      </c>
    </row>
    <row r="88" spans="1:8" ht="15.75" customHeight="1" x14ac:dyDescent="0.25">
      <c r="A88" s="134">
        <f t="shared" si="47"/>
        <v>0</v>
      </c>
      <c r="B88" s="134">
        <f t="shared" si="59"/>
        <v>0</v>
      </c>
      <c r="C88" s="134">
        <f t="shared" ref="C88:H88" si="65">(B88/B$72)*C$72</f>
        <v>0</v>
      </c>
      <c r="D88" s="134">
        <f t="shared" si="65"/>
        <v>0</v>
      </c>
      <c r="E88" s="134">
        <f t="shared" si="65"/>
        <v>0</v>
      </c>
      <c r="F88" s="134">
        <f t="shared" si="65"/>
        <v>0</v>
      </c>
      <c r="G88" s="134">
        <f t="shared" si="65"/>
        <v>0</v>
      </c>
      <c r="H88" s="134">
        <f t="shared" si="65"/>
        <v>0</v>
      </c>
    </row>
    <row r="89" spans="1:8" ht="15.75" customHeight="1" x14ac:dyDescent="0.25">
      <c r="A89" s="134">
        <f t="shared" si="47"/>
        <v>0</v>
      </c>
      <c r="B89" s="134">
        <f t="shared" si="59"/>
        <v>0</v>
      </c>
      <c r="C89" s="134">
        <f t="shared" ref="C89:H89" si="66">(B89/B$72)*C$72</f>
        <v>0</v>
      </c>
      <c r="D89" s="134">
        <f t="shared" si="66"/>
        <v>0</v>
      </c>
      <c r="E89" s="134">
        <f t="shared" si="66"/>
        <v>0</v>
      </c>
      <c r="F89" s="134">
        <f t="shared" si="66"/>
        <v>0</v>
      </c>
      <c r="G89" s="134">
        <f t="shared" si="66"/>
        <v>0</v>
      </c>
      <c r="H89" s="134">
        <f t="shared" si="66"/>
        <v>0</v>
      </c>
    </row>
    <row r="90" spans="1:8" ht="15.75" customHeight="1" x14ac:dyDescent="0.25">
      <c r="A90" s="134">
        <f t="shared" si="47"/>
        <v>0</v>
      </c>
      <c r="B90" s="134">
        <f t="shared" si="59"/>
        <v>0</v>
      </c>
      <c r="C90" s="134">
        <f t="shared" ref="C90:H90" si="67">(B90/B$72)*C$72</f>
        <v>0</v>
      </c>
      <c r="D90" s="134">
        <f t="shared" si="67"/>
        <v>0</v>
      </c>
      <c r="E90" s="134">
        <f t="shared" si="67"/>
        <v>0</v>
      </c>
      <c r="F90" s="134">
        <f t="shared" si="67"/>
        <v>0</v>
      </c>
      <c r="G90" s="134">
        <f t="shared" si="67"/>
        <v>0</v>
      </c>
      <c r="H90" s="134">
        <f t="shared" si="67"/>
        <v>0</v>
      </c>
    </row>
    <row r="91" spans="1:8" ht="15.75" customHeight="1" x14ac:dyDescent="0.25">
      <c r="A91" s="134">
        <f t="shared" si="47"/>
        <v>0</v>
      </c>
      <c r="B91" s="134">
        <f t="shared" ref="B91:B98" si="68">H33*$B$72</f>
        <v>0</v>
      </c>
      <c r="C91" s="134">
        <f t="shared" ref="C91:H91" si="69">(B91/B$72)*C$72</f>
        <v>0</v>
      </c>
      <c r="D91" s="134">
        <f t="shared" si="69"/>
        <v>0</v>
      </c>
      <c r="E91" s="134">
        <f t="shared" si="69"/>
        <v>0</v>
      </c>
      <c r="F91" s="134">
        <f t="shared" si="69"/>
        <v>0</v>
      </c>
      <c r="G91" s="134">
        <f t="shared" si="69"/>
        <v>0</v>
      </c>
      <c r="H91" s="134">
        <f t="shared" si="69"/>
        <v>0</v>
      </c>
    </row>
    <row r="92" spans="1:8" ht="15.75" customHeight="1" x14ac:dyDescent="0.25">
      <c r="A92" s="134">
        <f t="shared" si="47"/>
        <v>0</v>
      </c>
      <c r="B92" s="134">
        <f t="shared" si="68"/>
        <v>0</v>
      </c>
      <c r="C92" s="134">
        <f t="shared" ref="C92:G92" si="70">(B92/B$72)*C$72</f>
        <v>0</v>
      </c>
      <c r="D92" s="134">
        <f t="shared" si="70"/>
        <v>0</v>
      </c>
      <c r="E92" s="134">
        <f t="shared" si="70"/>
        <v>0</v>
      </c>
      <c r="F92" s="134">
        <f t="shared" si="70"/>
        <v>0</v>
      </c>
      <c r="G92" s="134">
        <f t="shared" si="70"/>
        <v>0</v>
      </c>
      <c r="H92" s="134"/>
    </row>
    <row r="93" spans="1:8" ht="15.75" customHeight="1" x14ac:dyDescent="0.25">
      <c r="A93" s="134">
        <f t="shared" si="47"/>
        <v>0</v>
      </c>
      <c r="B93" s="134">
        <f t="shared" si="68"/>
        <v>0</v>
      </c>
      <c r="C93" s="134">
        <f t="shared" ref="C93:G93" si="71">(B93/B$72)*C$72</f>
        <v>0</v>
      </c>
      <c r="D93" s="134">
        <f t="shared" si="71"/>
        <v>0</v>
      </c>
      <c r="E93" s="134">
        <f t="shared" si="71"/>
        <v>0</v>
      </c>
      <c r="F93" s="134">
        <f t="shared" si="71"/>
        <v>0</v>
      </c>
      <c r="G93" s="134">
        <f t="shared" si="71"/>
        <v>0</v>
      </c>
      <c r="H93" s="134"/>
    </row>
    <row r="94" spans="1:8" ht="15.75" customHeight="1" x14ac:dyDescent="0.25">
      <c r="A94" s="134">
        <f t="shared" si="47"/>
        <v>0</v>
      </c>
      <c r="B94" s="134">
        <f t="shared" si="68"/>
        <v>0</v>
      </c>
      <c r="C94" s="134">
        <f t="shared" ref="C94:G94" si="72">(B94/B$72)*C$72</f>
        <v>0</v>
      </c>
      <c r="D94" s="134">
        <f t="shared" si="72"/>
        <v>0</v>
      </c>
      <c r="E94" s="134">
        <f t="shared" si="72"/>
        <v>0</v>
      </c>
      <c r="F94" s="134">
        <f t="shared" si="72"/>
        <v>0</v>
      </c>
      <c r="G94" s="134">
        <f t="shared" si="72"/>
        <v>0</v>
      </c>
      <c r="H94" s="134"/>
    </row>
    <row r="95" spans="1:8" ht="15.75" customHeight="1" x14ac:dyDescent="0.25">
      <c r="A95" s="134" t="str">
        <f t="shared" si="47"/>
        <v>Pomegranate</v>
      </c>
      <c r="B95" s="134">
        <f t="shared" si="68"/>
        <v>0</v>
      </c>
      <c r="C95" s="134">
        <f t="shared" ref="C95:H95" si="73">(B95/B$72)*C$72</f>
        <v>0</v>
      </c>
      <c r="D95" s="134">
        <f t="shared" si="73"/>
        <v>0</v>
      </c>
      <c r="E95" s="134">
        <f t="shared" si="73"/>
        <v>0</v>
      </c>
      <c r="F95" s="134">
        <f t="shared" si="73"/>
        <v>0</v>
      </c>
      <c r="G95" s="134">
        <f t="shared" si="73"/>
        <v>0</v>
      </c>
      <c r="H95" s="134">
        <f t="shared" si="73"/>
        <v>0</v>
      </c>
    </row>
    <row r="96" spans="1:8" ht="15.75" customHeight="1" x14ac:dyDescent="0.25">
      <c r="A96" s="134" t="str">
        <f t="shared" si="47"/>
        <v>Custard Apple</v>
      </c>
      <c r="B96" s="134">
        <f t="shared" si="68"/>
        <v>0</v>
      </c>
      <c r="C96" s="134">
        <f t="shared" ref="C96:H96" si="74">(B96/B$72)*C$72</f>
        <v>0</v>
      </c>
      <c r="D96" s="134">
        <f t="shared" si="74"/>
        <v>0</v>
      </c>
      <c r="E96" s="134">
        <f t="shared" si="74"/>
        <v>0</v>
      </c>
      <c r="F96" s="134">
        <f t="shared" si="74"/>
        <v>0</v>
      </c>
      <c r="G96" s="134">
        <f t="shared" si="74"/>
        <v>0</v>
      </c>
      <c r="H96" s="134">
        <f t="shared" si="74"/>
        <v>0</v>
      </c>
    </row>
    <row r="97" spans="1:26" ht="15.75" customHeight="1" x14ac:dyDescent="0.25">
      <c r="A97" s="134" t="str">
        <f t="shared" si="47"/>
        <v>Guava</v>
      </c>
      <c r="B97" s="134">
        <f t="shared" si="68"/>
        <v>0</v>
      </c>
      <c r="C97" s="134">
        <f t="shared" ref="C97:H97" si="75">(B97/B$72)*C$72</f>
        <v>0</v>
      </c>
      <c r="D97" s="134">
        <f t="shared" si="75"/>
        <v>0</v>
      </c>
      <c r="E97" s="134">
        <f t="shared" si="75"/>
        <v>0</v>
      </c>
      <c r="F97" s="134">
        <f t="shared" si="75"/>
        <v>0</v>
      </c>
      <c r="G97" s="134">
        <f t="shared" si="75"/>
        <v>0</v>
      </c>
      <c r="H97" s="134">
        <f t="shared" si="75"/>
        <v>0</v>
      </c>
    </row>
    <row r="98" spans="1:26" ht="15.75" customHeight="1" x14ac:dyDescent="0.25">
      <c r="A98" s="134" t="str">
        <f t="shared" si="47"/>
        <v>Citrus</v>
      </c>
      <c r="B98" s="134">
        <f t="shared" si="68"/>
        <v>0</v>
      </c>
      <c r="C98" s="134">
        <f t="shared" ref="C98:H98" si="76">(B98/B$72)*C$72</f>
        <v>0</v>
      </c>
      <c r="D98" s="134">
        <f t="shared" si="76"/>
        <v>0</v>
      </c>
      <c r="E98" s="134">
        <f t="shared" si="76"/>
        <v>0</v>
      </c>
      <c r="F98" s="134">
        <f t="shared" si="76"/>
        <v>0</v>
      </c>
      <c r="G98" s="134">
        <f t="shared" si="76"/>
        <v>0</v>
      </c>
      <c r="H98" s="134">
        <f t="shared" si="76"/>
        <v>0</v>
      </c>
      <c r="I98" s="79"/>
    </row>
    <row r="99" spans="1:26" ht="15.75" customHeight="1" x14ac:dyDescent="0.3">
      <c r="A99" s="391" t="s">
        <v>564</v>
      </c>
      <c r="B99" s="342"/>
      <c r="C99" s="342"/>
      <c r="D99" s="342"/>
      <c r="E99" s="342"/>
      <c r="F99" s="342"/>
      <c r="G99" s="342"/>
      <c r="H99" s="343"/>
    </row>
    <row r="100" spans="1:26" ht="15.75" customHeight="1" x14ac:dyDescent="0.25">
      <c r="A100" s="392" t="s">
        <v>148</v>
      </c>
      <c r="B100" s="257">
        <v>0.65</v>
      </c>
      <c r="C100" s="258">
        <f t="shared" ref="C100:H100" si="77">B100+0.05</f>
        <v>0.70000000000000007</v>
      </c>
      <c r="D100" s="258">
        <f t="shared" si="77"/>
        <v>0.75000000000000011</v>
      </c>
      <c r="E100" s="258">
        <f t="shared" si="77"/>
        <v>0.80000000000000016</v>
      </c>
      <c r="F100" s="258">
        <f t="shared" si="77"/>
        <v>0.8500000000000002</v>
      </c>
      <c r="G100" s="258">
        <f t="shared" si="77"/>
        <v>0.90000000000000024</v>
      </c>
      <c r="H100" s="258">
        <f t="shared" si="77"/>
        <v>0.95000000000000029</v>
      </c>
    </row>
    <row r="101" spans="1:26" ht="15.75" customHeight="1" x14ac:dyDescent="0.25">
      <c r="A101" s="348"/>
      <c r="B101" s="239" t="s">
        <v>151</v>
      </c>
      <c r="C101" s="239" t="s">
        <v>152</v>
      </c>
      <c r="D101" s="239" t="s">
        <v>153</v>
      </c>
      <c r="E101" s="239" t="s">
        <v>154</v>
      </c>
      <c r="F101" s="239" t="s">
        <v>155</v>
      </c>
      <c r="G101" s="239" t="s">
        <v>156</v>
      </c>
      <c r="H101" s="239" t="s">
        <v>157</v>
      </c>
    </row>
    <row r="102" spans="1:26" ht="15.75" customHeight="1" x14ac:dyDescent="0.25">
      <c r="A102" s="134" t="str">
        <f t="shared" ref="A102:A126" si="78">A74</f>
        <v>Onion</v>
      </c>
      <c r="B102" s="134">
        <f t="shared" ref="B102:B110" si="79">D14*$B$100</f>
        <v>0</v>
      </c>
      <c r="C102" s="134">
        <f t="shared" ref="C102:H102" si="80">(B102/B$100)*C$100</f>
        <v>0</v>
      </c>
      <c r="D102" s="134">
        <f t="shared" si="80"/>
        <v>0</v>
      </c>
      <c r="E102" s="134">
        <f t="shared" si="80"/>
        <v>0</v>
      </c>
      <c r="F102" s="134">
        <f t="shared" si="80"/>
        <v>0</v>
      </c>
      <c r="G102" s="134">
        <f t="shared" si="80"/>
        <v>0</v>
      </c>
      <c r="H102" s="134">
        <f t="shared" si="80"/>
        <v>0</v>
      </c>
      <c r="I102" s="79"/>
      <c r="J102" s="79"/>
      <c r="K102" s="79"/>
      <c r="L102" s="79"/>
      <c r="M102" s="79"/>
      <c r="N102" s="79"/>
      <c r="O102" s="79"/>
      <c r="P102" s="79"/>
      <c r="Q102" s="79"/>
      <c r="R102" s="79"/>
      <c r="S102" s="79"/>
      <c r="T102" s="79"/>
      <c r="U102" s="79"/>
      <c r="V102" s="79"/>
      <c r="W102" s="79"/>
      <c r="X102" s="79"/>
      <c r="Y102" s="79"/>
      <c r="Z102" s="79"/>
    </row>
    <row r="103" spans="1:26" ht="15.75" customHeight="1" x14ac:dyDescent="0.25">
      <c r="A103" s="134" t="str">
        <f t="shared" si="78"/>
        <v>Tomato</v>
      </c>
      <c r="B103" s="134">
        <f t="shared" si="79"/>
        <v>0</v>
      </c>
      <c r="C103" s="134">
        <f t="shared" ref="C103:C126" si="81">(B103/B$100)*C$100</f>
        <v>0</v>
      </c>
      <c r="D103" s="134">
        <f t="shared" ref="D103:H103" si="82">(C103/C100)*D100</f>
        <v>0</v>
      </c>
      <c r="E103" s="134">
        <f t="shared" si="82"/>
        <v>0</v>
      </c>
      <c r="F103" s="134">
        <f t="shared" si="82"/>
        <v>0</v>
      </c>
      <c r="G103" s="134">
        <f t="shared" si="82"/>
        <v>0</v>
      </c>
      <c r="H103" s="134">
        <f t="shared" si="82"/>
        <v>0</v>
      </c>
    </row>
    <row r="104" spans="1:26" ht="15.75" customHeight="1" x14ac:dyDescent="0.25">
      <c r="A104" s="134" t="str">
        <f t="shared" si="78"/>
        <v>Okra</v>
      </c>
      <c r="B104" s="134">
        <f t="shared" si="79"/>
        <v>0</v>
      </c>
      <c r="C104" s="134">
        <f t="shared" si="81"/>
        <v>0</v>
      </c>
      <c r="D104" s="134">
        <f t="shared" ref="D104:H104" si="83">(C104/C$100)*D$100</f>
        <v>0</v>
      </c>
      <c r="E104" s="134">
        <f t="shared" si="83"/>
        <v>0</v>
      </c>
      <c r="F104" s="134">
        <f t="shared" si="83"/>
        <v>0</v>
      </c>
      <c r="G104" s="134">
        <f t="shared" si="83"/>
        <v>0</v>
      </c>
      <c r="H104" s="134">
        <f t="shared" si="83"/>
        <v>0</v>
      </c>
    </row>
    <row r="105" spans="1:26" ht="15.75" customHeight="1" x14ac:dyDescent="0.25">
      <c r="A105" s="134" t="str">
        <f t="shared" si="78"/>
        <v>Chilli</v>
      </c>
      <c r="B105" s="134">
        <f t="shared" si="79"/>
        <v>0</v>
      </c>
      <c r="C105" s="134">
        <f t="shared" si="81"/>
        <v>0</v>
      </c>
      <c r="D105" s="134">
        <f t="shared" ref="D105:H105" si="84">(C105/C$100)*D$100</f>
        <v>0</v>
      </c>
      <c r="E105" s="134">
        <f t="shared" si="84"/>
        <v>0</v>
      </c>
      <c r="F105" s="134">
        <f t="shared" si="84"/>
        <v>0</v>
      </c>
      <c r="G105" s="134">
        <f t="shared" si="84"/>
        <v>0</v>
      </c>
      <c r="H105" s="134">
        <f t="shared" si="84"/>
        <v>0</v>
      </c>
    </row>
    <row r="106" spans="1:26" ht="15.75" customHeight="1" x14ac:dyDescent="0.25">
      <c r="A106" s="134" t="str">
        <f t="shared" si="78"/>
        <v>Potato</v>
      </c>
      <c r="B106" s="134">
        <f t="shared" si="79"/>
        <v>0</v>
      </c>
      <c r="C106" s="134">
        <f t="shared" si="81"/>
        <v>0</v>
      </c>
      <c r="D106" s="134">
        <f t="shared" ref="D106:H106" si="85">(C106/C$100)*D$100</f>
        <v>0</v>
      </c>
      <c r="E106" s="134">
        <f t="shared" si="85"/>
        <v>0</v>
      </c>
      <c r="F106" s="134">
        <f t="shared" si="85"/>
        <v>0</v>
      </c>
      <c r="G106" s="134">
        <f t="shared" si="85"/>
        <v>0</v>
      </c>
      <c r="H106" s="134">
        <f t="shared" si="85"/>
        <v>0</v>
      </c>
    </row>
    <row r="107" spans="1:26" ht="15.75" customHeight="1" x14ac:dyDescent="0.25">
      <c r="A107" s="134">
        <f t="shared" si="78"/>
        <v>0</v>
      </c>
      <c r="B107" s="134">
        <f t="shared" si="79"/>
        <v>0</v>
      </c>
      <c r="C107" s="134">
        <f t="shared" si="81"/>
        <v>0</v>
      </c>
      <c r="D107" s="134">
        <f t="shared" ref="D107:H107" si="86">(C107/C$100)*D$100</f>
        <v>0</v>
      </c>
      <c r="E107" s="134">
        <f t="shared" si="86"/>
        <v>0</v>
      </c>
      <c r="F107" s="134">
        <f t="shared" si="86"/>
        <v>0</v>
      </c>
      <c r="G107" s="134">
        <f t="shared" si="86"/>
        <v>0</v>
      </c>
      <c r="H107" s="134">
        <f t="shared" si="86"/>
        <v>0</v>
      </c>
    </row>
    <row r="108" spans="1:26" ht="15.75" customHeight="1" x14ac:dyDescent="0.25">
      <c r="A108" s="134">
        <f t="shared" si="78"/>
        <v>0</v>
      </c>
      <c r="B108" s="134">
        <f t="shared" si="79"/>
        <v>0</v>
      </c>
      <c r="C108" s="134">
        <f t="shared" si="81"/>
        <v>0</v>
      </c>
      <c r="D108" s="134">
        <f t="shared" ref="D108:H108" si="87">(C108/C$100)*D$100</f>
        <v>0</v>
      </c>
      <c r="E108" s="134">
        <f t="shared" si="87"/>
        <v>0</v>
      </c>
      <c r="F108" s="134">
        <f t="shared" si="87"/>
        <v>0</v>
      </c>
      <c r="G108" s="134">
        <f t="shared" si="87"/>
        <v>0</v>
      </c>
      <c r="H108" s="134">
        <f t="shared" si="87"/>
        <v>0</v>
      </c>
    </row>
    <row r="109" spans="1:26" ht="15.75" customHeight="1" x14ac:dyDescent="0.25">
      <c r="A109" s="134">
        <f t="shared" si="78"/>
        <v>0</v>
      </c>
      <c r="B109" s="134">
        <f t="shared" si="79"/>
        <v>0</v>
      </c>
      <c r="C109" s="134">
        <f t="shared" si="81"/>
        <v>0</v>
      </c>
      <c r="D109" s="134">
        <f t="shared" ref="D109:H109" si="88">(C109/C$100)*D$100</f>
        <v>0</v>
      </c>
      <c r="E109" s="134">
        <f t="shared" si="88"/>
        <v>0</v>
      </c>
      <c r="F109" s="134">
        <f t="shared" si="88"/>
        <v>0</v>
      </c>
      <c r="G109" s="134">
        <f t="shared" si="88"/>
        <v>0</v>
      </c>
      <c r="H109" s="134">
        <f t="shared" si="88"/>
        <v>0</v>
      </c>
    </row>
    <row r="110" spans="1:26" ht="15.75" customHeight="1" x14ac:dyDescent="0.25">
      <c r="A110" s="134">
        <f t="shared" si="78"/>
        <v>0</v>
      </c>
      <c r="B110" s="134">
        <f t="shared" si="79"/>
        <v>0</v>
      </c>
      <c r="C110" s="134">
        <f t="shared" si="81"/>
        <v>0</v>
      </c>
      <c r="D110" s="134">
        <f t="shared" ref="D110:H110" si="89">(C110/C$100)*D$100</f>
        <v>0</v>
      </c>
      <c r="E110" s="134">
        <f t="shared" si="89"/>
        <v>0</v>
      </c>
      <c r="F110" s="134">
        <f t="shared" si="89"/>
        <v>0</v>
      </c>
      <c r="G110" s="134">
        <f t="shared" si="89"/>
        <v>0</v>
      </c>
      <c r="H110" s="134">
        <f t="shared" si="89"/>
        <v>0</v>
      </c>
    </row>
    <row r="111" spans="1:26" ht="15.75" customHeight="1" x14ac:dyDescent="0.25">
      <c r="A111" s="134" t="str">
        <f t="shared" si="78"/>
        <v>Onion</v>
      </c>
      <c r="B111" s="134">
        <f t="shared" ref="B111:B118" si="90">D24*$B$100</f>
        <v>0</v>
      </c>
      <c r="C111" s="134">
        <f t="shared" si="81"/>
        <v>0</v>
      </c>
      <c r="D111" s="134">
        <f t="shared" ref="D111:H111" si="91">(C111/C$100)*D$100</f>
        <v>0</v>
      </c>
      <c r="E111" s="134">
        <f t="shared" si="91"/>
        <v>0</v>
      </c>
      <c r="F111" s="134">
        <f t="shared" si="91"/>
        <v>0</v>
      </c>
      <c r="G111" s="134">
        <f t="shared" si="91"/>
        <v>0</v>
      </c>
      <c r="H111" s="134">
        <f t="shared" si="91"/>
        <v>0</v>
      </c>
    </row>
    <row r="112" spans="1:26" ht="15.75" customHeight="1" x14ac:dyDescent="0.25">
      <c r="A112" s="134" t="str">
        <f t="shared" si="78"/>
        <v>Tomato</v>
      </c>
      <c r="B112" s="134">
        <f t="shared" si="90"/>
        <v>0</v>
      </c>
      <c r="C112" s="134">
        <f t="shared" si="81"/>
        <v>0</v>
      </c>
      <c r="D112" s="134">
        <f t="shared" ref="D112:H112" si="92">(C112/C$100)*D$100</f>
        <v>0</v>
      </c>
      <c r="E112" s="134">
        <f t="shared" si="92"/>
        <v>0</v>
      </c>
      <c r="F112" s="134">
        <f t="shared" si="92"/>
        <v>0</v>
      </c>
      <c r="G112" s="134">
        <f t="shared" si="92"/>
        <v>0</v>
      </c>
      <c r="H112" s="134">
        <f t="shared" si="92"/>
        <v>0</v>
      </c>
    </row>
    <row r="113" spans="1:9" ht="15.75" customHeight="1" x14ac:dyDescent="0.25">
      <c r="A113" s="134" t="str">
        <f t="shared" si="78"/>
        <v>Okra</v>
      </c>
      <c r="B113" s="134">
        <f t="shared" si="90"/>
        <v>0</v>
      </c>
      <c r="C113" s="134">
        <f t="shared" si="81"/>
        <v>0</v>
      </c>
      <c r="D113" s="134">
        <f t="shared" ref="D113:H113" si="93">(C113/C$100)*D$100</f>
        <v>0</v>
      </c>
      <c r="E113" s="134">
        <f t="shared" si="93"/>
        <v>0</v>
      </c>
      <c r="F113" s="134">
        <f t="shared" si="93"/>
        <v>0</v>
      </c>
      <c r="G113" s="134">
        <f t="shared" si="93"/>
        <v>0</v>
      </c>
      <c r="H113" s="134">
        <f t="shared" si="93"/>
        <v>0</v>
      </c>
    </row>
    <row r="114" spans="1:9" ht="15.75" customHeight="1" x14ac:dyDescent="0.25">
      <c r="A114" s="134" t="str">
        <f t="shared" si="78"/>
        <v>Chilli</v>
      </c>
      <c r="B114" s="134">
        <f t="shared" si="90"/>
        <v>0</v>
      </c>
      <c r="C114" s="134">
        <f t="shared" si="81"/>
        <v>0</v>
      </c>
      <c r="D114" s="134">
        <f t="shared" ref="D114:H114" si="94">(C114/C$100)*D$100</f>
        <v>0</v>
      </c>
      <c r="E114" s="134">
        <f t="shared" si="94"/>
        <v>0</v>
      </c>
      <c r="F114" s="134">
        <f t="shared" si="94"/>
        <v>0</v>
      </c>
      <c r="G114" s="134">
        <f t="shared" si="94"/>
        <v>0</v>
      </c>
      <c r="H114" s="134">
        <f t="shared" si="94"/>
        <v>0</v>
      </c>
    </row>
    <row r="115" spans="1:9" ht="15.75" customHeight="1" x14ac:dyDescent="0.25">
      <c r="A115" s="134" t="str">
        <f t="shared" si="78"/>
        <v>Brinjal</v>
      </c>
      <c r="B115" s="134">
        <f t="shared" si="90"/>
        <v>0</v>
      </c>
      <c r="C115" s="134">
        <f t="shared" si="81"/>
        <v>0</v>
      </c>
      <c r="D115" s="134">
        <f t="shared" ref="D115:H115" si="95">(C115/C$100)*D$100</f>
        <v>0</v>
      </c>
      <c r="E115" s="134">
        <f t="shared" si="95"/>
        <v>0</v>
      </c>
      <c r="F115" s="134">
        <f t="shared" si="95"/>
        <v>0</v>
      </c>
      <c r="G115" s="134">
        <f t="shared" si="95"/>
        <v>0</v>
      </c>
      <c r="H115" s="134">
        <f t="shared" si="95"/>
        <v>0</v>
      </c>
    </row>
    <row r="116" spans="1:9" ht="15.75" customHeight="1" x14ac:dyDescent="0.25">
      <c r="A116" s="134">
        <f t="shared" si="78"/>
        <v>0</v>
      </c>
      <c r="B116" s="134">
        <f t="shared" si="90"/>
        <v>0</v>
      </c>
      <c r="C116" s="134">
        <f t="shared" si="81"/>
        <v>0</v>
      </c>
      <c r="D116" s="134">
        <f t="shared" ref="D116:H116" si="96">(C116/C$100)*D$100</f>
        <v>0</v>
      </c>
      <c r="E116" s="134">
        <f t="shared" si="96"/>
        <v>0</v>
      </c>
      <c r="F116" s="134">
        <f t="shared" si="96"/>
        <v>0</v>
      </c>
      <c r="G116" s="134">
        <f t="shared" si="96"/>
        <v>0</v>
      </c>
      <c r="H116" s="134">
        <f t="shared" si="96"/>
        <v>0</v>
      </c>
    </row>
    <row r="117" spans="1:9" ht="15.75" customHeight="1" x14ac:dyDescent="0.25">
      <c r="A117" s="134">
        <f t="shared" si="78"/>
        <v>0</v>
      </c>
      <c r="B117" s="134">
        <f t="shared" si="90"/>
        <v>0</v>
      </c>
      <c r="C117" s="134">
        <f t="shared" si="81"/>
        <v>0</v>
      </c>
      <c r="D117" s="134">
        <f t="shared" ref="D117:H117" si="97">(C117/C$100)*D$100</f>
        <v>0</v>
      </c>
      <c r="E117" s="134">
        <f t="shared" si="97"/>
        <v>0</v>
      </c>
      <c r="F117" s="134">
        <f t="shared" si="97"/>
        <v>0</v>
      </c>
      <c r="G117" s="134">
        <f t="shared" si="97"/>
        <v>0</v>
      </c>
      <c r="H117" s="134">
        <f t="shared" si="97"/>
        <v>0</v>
      </c>
    </row>
    <row r="118" spans="1:9" ht="15.75" customHeight="1" x14ac:dyDescent="0.25">
      <c r="A118" s="134">
        <f t="shared" si="78"/>
        <v>0</v>
      </c>
      <c r="B118" s="134">
        <f t="shared" si="90"/>
        <v>0</v>
      </c>
      <c r="C118" s="134">
        <f t="shared" si="81"/>
        <v>0</v>
      </c>
      <c r="D118" s="134">
        <f t="shared" ref="D118:H118" si="98">(C118/C$100)*D$100</f>
        <v>0</v>
      </c>
      <c r="E118" s="134">
        <f t="shared" si="98"/>
        <v>0</v>
      </c>
      <c r="F118" s="134">
        <f t="shared" si="98"/>
        <v>0</v>
      </c>
      <c r="G118" s="134">
        <f t="shared" si="98"/>
        <v>0</v>
      </c>
      <c r="H118" s="134">
        <f t="shared" si="98"/>
        <v>0</v>
      </c>
    </row>
    <row r="119" spans="1:9" ht="15.75" customHeight="1" x14ac:dyDescent="0.25">
      <c r="A119" s="134">
        <f t="shared" si="78"/>
        <v>0</v>
      </c>
      <c r="B119" s="134">
        <f t="shared" ref="B119:B126" si="99">D33*$B$100</f>
        <v>0</v>
      </c>
      <c r="C119" s="134">
        <f t="shared" si="81"/>
        <v>0</v>
      </c>
      <c r="D119" s="134">
        <f t="shared" ref="D119:H119" si="100">(C119/C$100)*D$100</f>
        <v>0</v>
      </c>
      <c r="E119" s="134">
        <f t="shared" si="100"/>
        <v>0</v>
      </c>
      <c r="F119" s="134">
        <f t="shared" si="100"/>
        <v>0</v>
      </c>
      <c r="G119" s="134">
        <f t="shared" si="100"/>
        <v>0</v>
      </c>
      <c r="H119" s="134">
        <f t="shared" si="100"/>
        <v>0</v>
      </c>
    </row>
    <row r="120" spans="1:9" ht="15.75" customHeight="1" x14ac:dyDescent="0.25">
      <c r="A120" s="134">
        <f t="shared" si="78"/>
        <v>0</v>
      </c>
      <c r="B120" s="134">
        <f t="shared" si="99"/>
        <v>0</v>
      </c>
      <c r="C120" s="134">
        <f t="shared" si="81"/>
        <v>0</v>
      </c>
      <c r="D120" s="134">
        <f t="shared" ref="D120:H120" si="101">(C120/C$100)*D$100</f>
        <v>0</v>
      </c>
      <c r="E120" s="134">
        <f t="shared" si="101"/>
        <v>0</v>
      </c>
      <c r="F120" s="134">
        <f t="shared" si="101"/>
        <v>0</v>
      </c>
      <c r="G120" s="134">
        <f t="shared" si="101"/>
        <v>0</v>
      </c>
      <c r="H120" s="134">
        <f t="shared" si="101"/>
        <v>0</v>
      </c>
    </row>
    <row r="121" spans="1:9" ht="15.75" customHeight="1" x14ac:dyDescent="0.25">
      <c r="A121" s="134">
        <f t="shared" si="78"/>
        <v>0</v>
      </c>
      <c r="B121" s="134">
        <f t="shared" si="99"/>
        <v>0</v>
      </c>
      <c r="C121" s="134">
        <f t="shared" si="81"/>
        <v>0</v>
      </c>
      <c r="D121" s="134">
        <f t="shared" ref="D121:H121" si="102">(C121/C$100)*D$100</f>
        <v>0</v>
      </c>
      <c r="E121" s="134">
        <f t="shared" si="102"/>
        <v>0</v>
      </c>
      <c r="F121" s="134">
        <f t="shared" si="102"/>
        <v>0</v>
      </c>
      <c r="G121" s="134">
        <f t="shared" si="102"/>
        <v>0</v>
      </c>
      <c r="H121" s="134">
        <f t="shared" si="102"/>
        <v>0</v>
      </c>
    </row>
    <row r="122" spans="1:9" ht="15.75" customHeight="1" x14ac:dyDescent="0.25">
      <c r="A122" s="134">
        <f t="shared" si="78"/>
        <v>0</v>
      </c>
      <c r="B122" s="134">
        <f t="shared" si="99"/>
        <v>0</v>
      </c>
      <c r="C122" s="134">
        <f t="shared" si="81"/>
        <v>0</v>
      </c>
      <c r="D122" s="134">
        <f t="shared" ref="D122:H122" si="103">(C122/C$100)*D$100</f>
        <v>0</v>
      </c>
      <c r="E122" s="134">
        <f t="shared" si="103"/>
        <v>0</v>
      </c>
      <c r="F122" s="134">
        <f t="shared" si="103"/>
        <v>0</v>
      </c>
      <c r="G122" s="134">
        <f t="shared" si="103"/>
        <v>0</v>
      </c>
      <c r="H122" s="134">
        <f t="shared" si="103"/>
        <v>0</v>
      </c>
    </row>
    <row r="123" spans="1:9" ht="15.75" customHeight="1" x14ac:dyDescent="0.25">
      <c r="A123" s="134" t="str">
        <f t="shared" si="78"/>
        <v>Pomegranate</v>
      </c>
      <c r="B123" s="134">
        <f t="shared" si="99"/>
        <v>0</v>
      </c>
      <c r="C123" s="134">
        <f t="shared" si="81"/>
        <v>0</v>
      </c>
      <c r="D123" s="134">
        <f t="shared" ref="D123:H123" si="104">(C123/C$100)*D$100</f>
        <v>0</v>
      </c>
      <c r="E123" s="134">
        <f t="shared" si="104"/>
        <v>0</v>
      </c>
      <c r="F123" s="134">
        <f t="shared" si="104"/>
        <v>0</v>
      </c>
      <c r="G123" s="134">
        <f t="shared" si="104"/>
        <v>0</v>
      </c>
      <c r="H123" s="134">
        <f t="shared" si="104"/>
        <v>0</v>
      </c>
    </row>
    <row r="124" spans="1:9" ht="15.75" customHeight="1" x14ac:dyDescent="0.25">
      <c r="A124" s="134" t="str">
        <f t="shared" si="78"/>
        <v>Custard Apple</v>
      </c>
      <c r="B124" s="134">
        <f t="shared" si="99"/>
        <v>0</v>
      </c>
      <c r="C124" s="134">
        <f t="shared" si="81"/>
        <v>0</v>
      </c>
      <c r="D124" s="134">
        <f t="shared" ref="D124:H124" si="105">(C124/C$100)*D$100</f>
        <v>0</v>
      </c>
      <c r="E124" s="134">
        <f t="shared" si="105"/>
        <v>0</v>
      </c>
      <c r="F124" s="134">
        <f t="shared" si="105"/>
        <v>0</v>
      </c>
      <c r="G124" s="134">
        <f t="shared" si="105"/>
        <v>0</v>
      </c>
      <c r="H124" s="134">
        <f t="shared" si="105"/>
        <v>0</v>
      </c>
    </row>
    <row r="125" spans="1:9" ht="15.75" customHeight="1" x14ac:dyDescent="0.25">
      <c r="A125" s="134" t="str">
        <f t="shared" si="78"/>
        <v>Guava</v>
      </c>
      <c r="B125" s="134">
        <f t="shared" si="99"/>
        <v>0</v>
      </c>
      <c r="C125" s="134">
        <f t="shared" si="81"/>
        <v>0</v>
      </c>
      <c r="D125" s="134">
        <f t="shared" ref="D125:H125" si="106">(C125/C$100)*D$100</f>
        <v>0</v>
      </c>
      <c r="E125" s="134">
        <f t="shared" si="106"/>
        <v>0</v>
      </c>
      <c r="F125" s="134">
        <f t="shared" si="106"/>
        <v>0</v>
      </c>
      <c r="G125" s="134">
        <f t="shared" si="106"/>
        <v>0</v>
      </c>
      <c r="H125" s="134">
        <f t="shared" si="106"/>
        <v>0</v>
      </c>
    </row>
    <row r="126" spans="1:9" ht="15.75" customHeight="1" x14ac:dyDescent="0.25">
      <c r="A126" s="134" t="str">
        <f t="shared" si="78"/>
        <v>Citrus</v>
      </c>
      <c r="B126" s="134">
        <f t="shared" si="99"/>
        <v>0</v>
      </c>
      <c r="C126" s="134">
        <f t="shared" si="81"/>
        <v>0</v>
      </c>
      <c r="D126" s="134">
        <f t="shared" ref="D126:H126" si="107">(C126/C$100)*D$100</f>
        <v>0</v>
      </c>
      <c r="E126" s="134">
        <f t="shared" si="107"/>
        <v>0</v>
      </c>
      <c r="F126" s="134">
        <f t="shared" si="107"/>
        <v>0</v>
      </c>
      <c r="G126" s="134">
        <f t="shared" si="107"/>
        <v>0</v>
      </c>
      <c r="H126" s="134">
        <f t="shared" si="107"/>
        <v>0</v>
      </c>
    </row>
    <row r="127" spans="1:9" ht="15.75" customHeight="1" x14ac:dyDescent="0.25"/>
    <row r="128" spans="1:9" ht="15.75" customHeight="1" x14ac:dyDescent="0.25">
      <c r="C128" s="153"/>
      <c r="D128" s="208"/>
      <c r="E128" s="208"/>
      <c r="F128" s="208"/>
      <c r="G128" s="208"/>
      <c r="H128" s="208"/>
      <c r="I128" s="208"/>
    </row>
    <row r="129" spans="1:9" ht="15.75" customHeight="1" x14ac:dyDescent="0.25">
      <c r="A129" t="s">
        <v>539</v>
      </c>
      <c r="C129" s="48"/>
      <c r="D129" s="48"/>
      <c r="E129" s="48"/>
      <c r="F129" s="48"/>
      <c r="G129" s="48"/>
      <c r="H129" s="48"/>
      <c r="I129" s="48"/>
    </row>
    <row r="130" spans="1:9" ht="15.75" customHeight="1" x14ac:dyDescent="0.25">
      <c r="A130">
        <v>1</v>
      </c>
      <c r="B130" t="s">
        <v>565</v>
      </c>
    </row>
    <row r="131" spans="1:9" ht="15.75" customHeight="1" x14ac:dyDescent="0.25">
      <c r="A131">
        <v>2</v>
      </c>
      <c r="B131" t="s">
        <v>566</v>
      </c>
    </row>
    <row r="132" spans="1:9" ht="15.75" customHeight="1" x14ac:dyDescent="0.25">
      <c r="A132">
        <v>3</v>
      </c>
      <c r="B132" t="s">
        <v>542</v>
      </c>
    </row>
  </sheetData>
  <mergeCells count="13">
    <mergeCell ref="A72:A73"/>
    <mergeCell ref="A99:H99"/>
    <mergeCell ref="A100:A101"/>
    <mergeCell ref="A11:H11"/>
    <mergeCell ref="A14:A22"/>
    <mergeCell ref="A24:A31"/>
    <mergeCell ref="A41:H41"/>
    <mergeCell ref="A43:H43"/>
    <mergeCell ref="A3:B3"/>
    <mergeCell ref="A1:H1"/>
    <mergeCell ref="A37:A40"/>
    <mergeCell ref="A44:A45"/>
    <mergeCell ref="A71:H71"/>
  </mergeCells>
  <printOptions horizontalCentered="1"/>
  <pageMargins left="0.25" right="0.25" top="0.75" bottom="0.75" header="0.3" footer="0.3"/>
  <pageSetup paperSize="9" scale="73" fitToHeight="0" orientation="landscape" r:id="rId1"/>
  <rowBreaks count="3" manualBreakCount="3">
    <brk id="41" max="7" man="1"/>
    <brk id="70" max="7" man="1"/>
    <brk id="98"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96" zoomScale="60" zoomScaleNormal="100" workbookViewId="0">
      <selection activeCell="D234" sqref="D234"/>
    </sheetView>
  </sheetViews>
  <sheetFormatPr defaultColWidth="14.42578125" defaultRowHeight="15" customHeight="1" x14ac:dyDescent="0.25"/>
  <cols>
    <col min="1" max="1" width="42.42578125" customWidth="1"/>
    <col min="2" max="2" width="23.42578125" customWidth="1"/>
    <col min="3" max="3" width="11.85546875" customWidth="1"/>
    <col min="4" max="5" width="15.85546875" customWidth="1"/>
    <col min="6" max="6" width="18.140625" customWidth="1"/>
    <col min="7" max="10" width="15.85546875" customWidth="1"/>
    <col min="11" max="11" width="10.5703125" customWidth="1"/>
    <col min="12" max="12" width="8.7109375" customWidth="1"/>
    <col min="13" max="13" width="22.85546875" customWidth="1"/>
    <col min="14" max="14" width="12.85546875" customWidth="1"/>
    <col min="15" max="20" width="8.7109375" customWidth="1"/>
  </cols>
  <sheetData>
    <row r="2" spans="1:8" ht="18.75" x14ac:dyDescent="0.3">
      <c r="A2" s="354" t="s">
        <v>567</v>
      </c>
      <c r="B2" s="338"/>
      <c r="C2" s="338"/>
      <c r="D2" s="338"/>
      <c r="E2" s="338"/>
      <c r="F2" s="338"/>
      <c r="G2" s="338"/>
      <c r="H2" s="338"/>
    </row>
    <row r="3" spans="1:8" ht="18.75" x14ac:dyDescent="0.3">
      <c r="A3" s="354" t="s">
        <v>568</v>
      </c>
      <c r="B3" s="338"/>
      <c r="C3" s="338"/>
      <c r="D3" s="338"/>
      <c r="E3" s="338"/>
      <c r="F3" s="338"/>
      <c r="G3" s="338"/>
      <c r="H3" s="338"/>
    </row>
    <row r="4" spans="1:8" x14ac:dyDescent="0.25">
      <c r="B4" s="69"/>
      <c r="C4" s="69"/>
      <c r="D4" s="69"/>
      <c r="E4" s="69"/>
      <c r="F4" s="356" t="s">
        <v>569</v>
      </c>
      <c r="G4" s="338"/>
      <c r="H4" s="338"/>
    </row>
    <row r="5" spans="1:8" x14ac:dyDescent="0.25">
      <c r="A5" s="69" t="s">
        <v>129</v>
      </c>
      <c r="B5" s="260">
        <v>20</v>
      </c>
      <c r="C5" s="69" t="s">
        <v>570</v>
      </c>
      <c r="D5" s="69"/>
      <c r="E5" s="69"/>
      <c r="F5" s="238" t="s">
        <v>571</v>
      </c>
      <c r="G5" s="238" t="s">
        <v>572</v>
      </c>
      <c r="H5" s="69"/>
    </row>
    <row r="6" spans="1:8" x14ac:dyDescent="0.25">
      <c r="A6" s="69" t="s">
        <v>573</v>
      </c>
      <c r="B6" s="117">
        <v>8</v>
      </c>
      <c r="C6" s="69"/>
      <c r="D6" s="69"/>
      <c r="E6" s="69"/>
      <c r="F6" s="134" t="s">
        <v>574</v>
      </c>
      <c r="G6" s="261">
        <v>0.03</v>
      </c>
      <c r="H6" s="69"/>
    </row>
    <row r="7" spans="1:8" x14ac:dyDescent="0.25">
      <c r="A7" s="69"/>
      <c r="B7" s="69"/>
      <c r="C7" s="69"/>
      <c r="D7" s="69"/>
      <c r="E7" s="69"/>
      <c r="F7" s="134" t="s">
        <v>575</v>
      </c>
      <c r="G7" s="261">
        <v>0.05</v>
      </c>
      <c r="H7" s="69"/>
    </row>
    <row r="8" spans="1:8" x14ac:dyDescent="0.25">
      <c r="A8" s="69" t="s">
        <v>576</v>
      </c>
      <c r="B8" s="69">
        <v>300</v>
      </c>
      <c r="C8" s="69"/>
      <c r="D8" s="69"/>
      <c r="E8" s="69"/>
      <c r="F8" s="134"/>
      <c r="G8" s="261"/>
      <c r="H8" s="69"/>
    </row>
    <row r="9" spans="1:8" x14ac:dyDescent="0.25">
      <c r="A9" s="72" t="s">
        <v>148</v>
      </c>
      <c r="B9" s="73" t="s">
        <v>151</v>
      </c>
      <c r="C9" s="73" t="s">
        <v>152</v>
      </c>
      <c r="D9" s="73" t="s">
        <v>153</v>
      </c>
      <c r="E9" s="73" t="s">
        <v>154</v>
      </c>
      <c r="F9" s="73" t="s">
        <v>155</v>
      </c>
      <c r="G9" s="73" t="s">
        <v>156</v>
      </c>
      <c r="H9" s="73" t="s">
        <v>157</v>
      </c>
    </row>
    <row r="10" spans="1:8" x14ac:dyDescent="0.25">
      <c r="A10" s="74" t="s">
        <v>577</v>
      </c>
      <c r="B10" s="234">
        <f t="shared" ref="B10:H10" si="0">B33/($B$5*$B$6)</f>
        <v>6.125</v>
      </c>
      <c r="C10" s="234">
        <f t="shared" si="0"/>
        <v>7.65625</v>
      </c>
      <c r="D10" s="234">
        <f t="shared" si="0"/>
        <v>9.1875</v>
      </c>
      <c r="E10" s="234">
        <f t="shared" si="0"/>
        <v>10.71875</v>
      </c>
      <c r="F10" s="234">
        <f t="shared" si="0"/>
        <v>12.249999999999998</v>
      </c>
      <c r="G10" s="234">
        <f t="shared" si="0"/>
        <v>13.78125</v>
      </c>
      <c r="H10" s="234">
        <f t="shared" si="0"/>
        <v>15.3125</v>
      </c>
    </row>
    <row r="11" spans="1:8" x14ac:dyDescent="0.25">
      <c r="A11" s="262" t="str">
        <f>'10.Grain Production details'!A42</f>
        <v>Turmeric</v>
      </c>
      <c r="B11" s="262">
        <f>'10.Grain Production details'!B42</f>
        <v>0</v>
      </c>
      <c r="C11" s="262">
        <f>'10.Grain Production details'!C42</f>
        <v>0</v>
      </c>
      <c r="D11" s="262">
        <f>'10.Grain Production details'!D42</f>
        <v>0</v>
      </c>
      <c r="E11" s="262">
        <f>'10.Grain Production details'!E42</f>
        <v>0</v>
      </c>
      <c r="F11" s="262">
        <f>'10.Grain Production details'!F42</f>
        <v>0</v>
      </c>
      <c r="G11" s="262">
        <f>'10.Grain Production details'!G42</f>
        <v>0</v>
      </c>
      <c r="H11" s="262">
        <f>'10.Grain Production details'!H42</f>
        <v>0</v>
      </c>
    </row>
    <row r="12" spans="1:8" x14ac:dyDescent="0.25">
      <c r="A12" s="262" t="str">
        <f>'10.Grain Production details'!A43</f>
        <v>Red Gram/Tur</v>
      </c>
      <c r="B12" s="262">
        <f>'10.Grain Production details'!B43</f>
        <v>0</v>
      </c>
      <c r="C12" s="262">
        <f>'10.Grain Production details'!C43</f>
        <v>0</v>
      </c>
      <c r="D12" s="262">
        <f>'10.Grain Production details'!D43</f>
        <v>0</v>
      </c>
      <c r="E12" s="262">
        <f>'10.Grain Production details'!E43</f>
        <v>0</v>
      </c>
      <c r="F12" s="262">
        <f>'10.Grain Production details'!F43</f>
        <v>0</v>
      </c>
      <c r="G12" s="262">
        <f>'10.Grain Production details'!G43</f>
        <v>0</v>
      </c>
      <c r="H12" s="262">
        <f>'10.Grain Production details'!H43</f>
        <v>0</v>
      </c>
    </row>
    <row r="13" spans="1:8" x14ac:dyDescent="0.25">
      <c r="A13" s="262" t="str">
        <f>'10.Grain Production details'!A44</f>
        <v>Paddy/Rice</v>
      </c>
      <c r="B13" s="262">
        <f>'10.Grain Production details'!B44</f>
        <v>0</v>
      </c>
      <c r="C13" s="262">
        <f>'10.Grain Production details'!C44</f>
        <v>0</v>
      </c>
      <c r="D13" s="262">
        <f>'10.Grain Production details'!D44</f>
        <v>0</v>
      </c>
      <c r="E13" s="262">
        <f>'10.Grain Production details'!E44</f>
        <v>0</v>
      </c>
      <c r="F13" s="262">
        <f>'10.Grain Production details'!F44</f>
        <v>0</v>
      </c>
      <c r="G13" s="262">
        <f>'10.Grain Production details'!G44</f>
        <v>0</v>
      </c>
      <c r="H13" s="262">
        <f>'10.Grain Production details'!H44</f>
        <v>0</v>
      </c>
    </row>
    <row r="14" spans="1:8" x14ac:dyDescent="0.25">
      <c r="A14" s="262" t="str">
        <f>'10.Grain Production details'!A45</f>
        <v>Green Gram/ Moong</v>
      </c>
      <c r="B14" s="262">
        <f>'10.Grain Production details'!B45</f>
        <v>0</v>
      </c>
      <c r="C14" s="262">
        <f>'10.Grain Production details'!C45</f>
        <v>0</v>
      </c>
      <c r="D14" s="262">
        <f>'10.Grain Production details'!D45</f>
        <v>0</v>
      </c>
      <c r="E14" s="262">
        <f>'10.Grain Production details'!E45</f>
        <v>0</v>
      </c>
      <c r="F14" s="262">
        <f>'10.Grain Production details'!F45</f>
        <v>0</v>
      </c>
      <c r="G14" s="262">
        <f>'10.Grain Production details'!G45</f>
        <v>0</v>
      </c>
      <c r="H14" s="262">
        <f>'10.Grain Production details'!H45</f>
        <v>0</v>
      </c>
    </row>
    <row r="15" spans="1:8" x14ac:dyDescent="0.25">
      <c r="A15" s="262" t="str">
        <f>'10.Grain Production details'!A46</f>
        <v>Maize</v>
      </c>
      <c r="B15" s="262">
        <f>'10.Grain Production details'!B46</f>
        <v>0</v>
      </c>
      <c r="C15" s="262">
        <f>'10.Grain Production details'!C46</f>
        <v>0</v>
      </c>
      <c r="D15" s="262">
        <f>'10.Grain Production details'!D46</f>
        <v>0</v>
      </c>
      <c r="E15" s="262">
        <f>'10.Grain Production details'!E46</f>
        <v>0</v>
      </c>
      <c r="F15" s="262">
        <f>'10.Grain Production details'!F46</f>
        <v>0</v>
      </c>
      <c r="G15" s="262">
        <f>'10.Grain Production details'!G46</f>
        <v>0</v>
      </c>
      <c r="H15" s="262">
        <f>'10.Grain Production details'!H46</f>
        <v>0</v>
      </c>
    </row>
    <row r="16" spans="1:8" x14ac:dyDescent="0.25">
      <c r="A16" s="262" t="str">
        <f>'10.Grain Production details'!A47</f>
        <v>Black Gram/Udid</v>
      </c>
      <c r="B16" s="262">
        <f>'10.Grain Production details'!B47</f>
        <v>0</v>
      </c>
      <c r="C16" s="262">
        <f>'10.Grain Production details'!C47</f>
        <v>0</v>
      </c>
      <c r="D16" s="262">
        <f>'10.Grain Production details'!D47</f>
        <v>0</v>
      </c>
      <c r="E16" s="262">
        <f>'10.Grain Production details'!E47</f>
        <v>0</v>
      </c>
      <c r="F16" s="262">
        <f>'10.Grain Production details'!F47</f>
        <v>0</v>
      </c>
      <c r="G16" s="262">
        <f>'10.Grain Production details'!G47</f>
        <v>0</v>
      </c>
      <c r="H16" s="262">
        <f>'10.Grain Production details'!H47</f>
        <v>0</v>
      </c>
    </row>
    <row r="17" spans="1:8" x14ac:dyDescent="0.25">
      <c r="A17" s="262" t="str">
        <f>'10.Grain Production details'!A48</f>
        <v>Bajra</v>
      </c>
      <c r="B17" s="262">
        <f>'10.Grain Production details'!B48</f>
        <v>0</v>
      </c>
      <c r="C17" s="262">
        <f>'10.Grain Production details'!C48</f>
        <v>0</v>
      </c>
      <c r="D17" s="262">
        <f>'10.Grain Production details'!D48</f>
        <v>0</v>
      </c>
      <c r="E17" s="262">
        <f>'10.Grain Production details'!E48</f>
        <v>0</v>
      </c>
      <c r="F17" s="262">
        <f>'10.Grain Production details'!F48</f>
        <v>0</v>
      </c>
      <c r="G17" s="262">
        <f>'10.Grain Production details'!G48</f>
        <v>0</v>
      </c>
      <c r="H17" s="262">
        <f>'10.Grain Production details'!H48</f>
        <v>0</v>
      </c>
    </row>
    <row r="18" spans="1:8" x14ac:dyDescent="0.25">
      <c r="A18" s="262" t="str">
        <f>'10.Grain Production details'!A49</f>
        <v>Jawar</v>
      </c>
      <c r="B18" s="262">
        <f>'10.Grain Production details'!B49</f>
        <v>0</v>
      </c>
      <c r="C18" s="262">
        <f>'10.Grain Production details'!C49</f>
        <v>0</v>
      </c>
      <c r="D18" s="262">
        <f>'10.Grain Production details'!D49</f>
        <v>0</v>
      </c>
      <c r="E18" s="262">
        <f>'10.Grain Production details'!E49</f>
        <v>0</v>
      </c>
      <c r="F18" s="262">
        <f>'10.Grain Production details'!F49</f>
        <v>0</v>
      </c>
      <c r="G18" s="262">
        <f>'10.Grain Production details'!G49</f>
        <v>0</v>
      </c>
      <c r="H18" s="262">
        <f>'10.Grain Production details'!H49</f>
        <v>0</v>
      </c>
    </row>
    <row r="19" spans="1:8" x14ac:dyDescent="0.25">
      <c r="A19" s="262" t="str">
        <f>'10.Grain Production details'!A50</f>
        <v>Sunflower</v>
      </c>
      <c r="B19" s="262">
        <f>'10.Grain Production details'!B50</f>
        <v>0</v>
      </c>
      <c r="C19" s="262">
        <f>'10.Grain Production details'!C50</f>
        <v>0</v>
      </c>
      <c r="D19" s="262">
        <f>'10.Grain Production details'!D50</f>
        <v>0</v>
      </c>
      <c r="E19" s="262">
        <f>'10.Grain Production details'!E50</f>
        <v>0</v>
      </c>
      <c r="F19" s="262">
        <f>'10.Grain Production details'!F50</f>
        <v>0</v>
      </c>
      <c r="G19" s="262">
        <f>'10.Grain Production details'!G50</f>
        <v>0</v>
      </c>
      <c r="H19" s="262">
        <f>'10.Grain Production details'!H50</f>
        <v>0</v>
      </c>
    </row>
    <row r="20" spans="1:8" x14ac:dyDescent="0.25">
      <c r="A20" s="262" t="str">
        <f>'10.Grain Production details'!A51</f>
        <v>Wheat</v>
      </c>
      <c r="B20" s="262">
        <f>'10.Grain Production details'!B51</f>
        <v>0</v>
      </c>
      <c r="C20" s="262">
        <f>'10.Grain Production details'!C51</f>
        <v>0</v>
      </c>
      <c r="D20" s="262">
        <f>'10.Grain Production details'!D51</f>
        <v>0</v>
      </c>
      <c r="E20" s="262">
        <f>'10.Grain Production details'!E51</f>
        <v>0</v>
      </c>
      <c r="F20" s="262">
        <f>'10.Grain Production details'!F51</f>
        <v>0</v>
      </c>
      <c r="G20" s="262">
        <f>'10.Grain Production details'!G51</f>
        <v>0</v>
      </c>
      <c r="H20" s="262">
        <f>'10.Grain Production details'!H51</f>
        <v>0</v>
      </c>
    </row>
    <row r="21" spans="1:8" ht="15.75" customHeight="1" x14ac:dyDescent="0.25">
      <c r="A21" s="262" t="str">
        <f>'10.Grain Production details'!A52</f>
        <v>Bengal Gram/Channa</v>
      </c>
      <c r="B21" s="262">
        <f>'10.Grain Production details'!B52</f>
        <v>0</v>
      </c>
      <c r="C21" s="262">
        <f>'10.Grain Production details'!C52</f>
        <v>0</v>
      </c>
      <c r="D21" s="262">
        <f>'10.Grain Production details'!D52</f>
        <v>0</v>
      </c>
      <c r="E21" s="262">
        <f>'10.Grain Production details'!E52</f>
        <v>0</v>
      </c>
      <c r="F21" s="262">
        <f>'10.Grain Production details'!F52</f>
        <v>0</v>
      </c>
      <c r="G21" s="262">
        <f>'10.Grain Production details'!G52</f>
        <v>0</v>
      </c>
      <c r="H21" s="262">
        <f>'10.Grain Production details'!H52</f>
        <v>0</v>
      </c>
    </row>
    <row r="22" spans="1:8" ht="15.75" customHeight="1" x14ac:dyDescent="0.25">
      <c r="A22" s="262" t="str">
        <f>'10.Grain Production details'!A53</f>
        <v>Jawar</v>
      </c>
      <c r="B22" s="262">
        <f>'10.Grain Production details'!B53</f>
        <v>0</v>
      </c>
      <c r="C22" s="262">
        <f>'10.Grain Production details'!C53</f>
        <v>0</v>
      </c>
      <c r="D22" s="262">
        <f>'10.Grain Production details'!D53</f>
        <v>0</v>
      </c>
      <c r="E22" s="262">
        <f>'10.Grain Production details'!E53</f>
        <v>0</v>
      </c>
      <c r="F22" s="262">
        <f>'10.Grain Production details'!F53</f>
        <v>0</v>
      </c>
      <c r="G22" s="262">
        <f>'10.Grain Production details'!G53</f>
        <v>0</v>
      </c>
      <c r="H22" s="262">
        <f>'10.Grain Production details'!H53</f>
        <v>0</v>
      </c>
    </row>
    <row r="23" spans="1:8" ht="15.75" customHeight="1" x14ac:dyDescent="0.25">
      <c r="A23" s="262" t="str">
        <f>'10.Grain Production details'!A54</f>
        <v>Maize</v>
      </c>
      <c r="B23" s="262">
        <f>'10.Grain Production details'!B54</f>
        <v>0</v>
      </c>
      <c r="C23" s="262">
        <f>'10.Grain Production details'!C54</f>
        <v>0</v>
      </c>
      <c r="D23" s="262">
        <f>'10.Grain Production details'!D54</f>
        <v>0</v>
      </c>
      <c r="E23" s="262">
        <f>'10.Grain Production details'!E54</f>
        <v>0</v>
      </c>
      <c r="F23" s="262">
        <f>'10.Grain Production details'!F54</f>
        <v>0</v>
      </c>
      <c r="G23" s="262">
        <f>'10.Grain Production details'!G54</f>
        <v>0</v>
      </c>
      <c r="H23" s="262">
        <f>'10.Grain Production details'!H54</f>
        <v>0</v>
      </c>
    </row>
    <row r="24" spans="1:8" ht="15.75" customHeight="1" x14ac:dyDescent="0.25">
      <c r="A24" s="262" t="str">
        <f>'10.Grain Production details'!A55</f>
        <v>Safflower</v>
      </c>
      <c r="B24" s="262">
        <f>'10.Grain Production details'!B55</f>
        <v>0</v>
      </c>
      <c r="C24" s="262">
        <f>'10.Grain Production details'!C55</f>
        <v>0</v>
      </c>
      <c r="D24" s="262">
        <f>'10.Grain Production details'!D55</f>
        <v>0</v>
      </c>
      <c r="E24" s="262">
        <f>'10.Grain Production details'!E55</f>
        <v>0</v>
      </c>
      <c r="F24" s="262">
        <f>'10.Grain Production details'!F55</f>
        <v>0</v>
      </c>
      <c r="G24" s="262">
        <f>'10.Grain Production details'!G55</f>
        <v>0</v>
      </c>
      <c r="H24" s="262">
        <f>'10.Grain Production details'!H55</f>
        <v>0</v>
      </c>
    </row>
    <row r="25" spans="1:8" ht="15.75" customHeight="1" x14ac:dyDescent="0.25">
      <c r="A25" s="262">
        <f>'10.Grain Production details'!A56</f>
        <v>0</v>
      </c>
      <c r="B25" s="262">
        <f>'10.Grain Production details'!B56</f>
        <v>0</v>
      </c>
      <c r="C25" s="262">
        <f>'10.Grain Production details'!C56</f>
        <v>0</v>
      </c>
      <c r="D25" s="262">
        <f>'10.Grain Production details'!D56</f>
        <v>0</v>
      </c>
      <c r="E25" s="262">
        <f>'10.Grain Production details'!E56</f>
        <v>0</v>
      </c>
      <c r="F25" s="262">
        <f>'10.Grain Production details'!F56</f>
        <v>0</v>
      </c>
      <c r="G25" s="262">
        <f>'10.Grain Production details'!G56</f>
        <v>0</v>
      </c>
      <c r="H25" s="262">
        <f>'10.Grain Production details'!H56</f>
        <v>0</v>
      </c>
    </row>
    <row r="26" spans="1:8" ht="15.75" customHeight="1" x14ac:dyDescent="0.25">
      <c r="A26" s="262">
        <f>'10.Grain Production details'!A57</f>
        <v>0</v>
      </c>
      <c r="B26" s="262">
        <f>'10.Grain Production details'!B57</f>
        <v>0</v>
      </c>
      <c r="C26" s="262">
        <f>'10.Grain Production details'!C57</f>
        <v>0</v>
      </c>
      <c r="D26" s="262">
        <f>'10.Grain Production details'!D57</f>
        <v>0</v>
      </c>
      <c r="E26" s="262">
        <f>'10.Grain Production details'!E57</f>
        <v>0</v>
      </c>
      <c r="F26" s="262">
        <f>'10.Grain Production details'!F57</f>
        <v>0</v>
      </c>
      <c r="G26" s="262">
        <f>'10.Grain Production details'!G57</f>
        <v>0</v>
      </c>
      <c r="H26" s="262">
        <f>'10.Grain Production details'!H57</f>
        <v>0</v>
      </c>
    </row>
    <row r="27" spans="1:8" ht="15.75" customHeight="1" x14ac:dyDescent="0.25">
      <c r="A27" s="262">
        <f>'10.Grain Production details'!A58</f>
        <v>0</v>
      </c>
      <c r="B27" s="262">
        <f>'10.Grain Production details'!B58</f>
        <v>0</v>
      </c>
      <c r="C27" s="262">
        <f>'10.Grain Production details'!C58</f>
        <v>0</v>
      </c>
      <c r="D27" s="262">
        <f>'10.Grain Production details'!D58</f>
        <v>0</v>
      </c>
      <c r="E27" s="262">
        <f>'10.Grain Production details'!E58</f>
        <v>0</v>
      </c>
      <c r="F27" s="262">
        <f>'10.Grain Production details'!F58</f>
        <v>0</v>
      </c>
      <c r="G27" s="262">
        <f>'10.Grain Production details'!G58</f>
        <v>0</v>
      </c>
      <c r="H27" s="262">
        <f>'10.Grain Production details'!H58</f>
        <v>0</v>
      </c>
    </row>
    <row r="28" spans="1:8" ht="15.75" customHeight="1" x14ac:dyDescent="0.25">
      <c r="A28" s="262" t="str">
        <f>'10.Grain Production details'!A59</f>
        <v>Turmeric</v>
      </c>
      <c r="B28" s="262">
        <f>'10.Grain Production details'!B59</f>
        <v>980</v>
      </c>
      <c r="C28" s="262">
        <f>'10.Grain Production details'!C59</f>
        <v>1225</v>
      </c>
      <c r="D28" s="262">
        <f>'10.Grain Production details'!D59</f>
        <v>1470</v>
      </c>
      <c r="E28" s="262">
        <f>'10.Grain Production details'!E59</f>
        <v>1715</v>
      </c>
      <c r="F28" s="262">
        <f>'10.Grain Production details'!F59</f>
        <v>1959.9999999999998</v>
      </c>
      <c r="G28" s="262">
        <f>'10.Grain Production details'!G59</f>
        <v>2205</v>
      </c>
      <c r="H28" s="262">
        <f>'10.Grain Production details'!H59</f>
        <v>2450</v>
      </c>
    </row>
    <row r="29" spans="1:8" ht="15.75" customHeight="1" x14ac:dyDescent="0.25">
      <c r="A29" s="262">
        <f>'10.Grain Production details'!A60</f>
        <v>0</v>
      </c>
      <c r="B29" s="262">
        <f>'10.Grain Production details'!B60</f>
        <v>0</v>
      </c>
      <c r="C29" s="262">
        <f>'10.Grain Production details'!C60</f>
        <v>0</v>
      </c>
      <c r="D29" s="262">
        <f>'10.Grain Production details'!D60</f>
        <v>0</v>
      </c>
      <c r="E29" s="262">
        <f>'10.Grain Production details'!E60</f>
        <v>0</v>
      </c>
      <c r="F29" s="262">
        <f>'10.Grain Production details'!F60</f>
        <v>0</v>
      </c>
      <c r="G29" s="262">
        <f>'10.Grain Production details'!G60</f>
        <v>0</v>
      </c>
      <c r="H29" s="262">
        <f>'10.Grain Production details'!H60</f>
        <v>0</v>
      </c>
    </row>
    <row r="30" spans="1:8" ht="15.75" customHeight="1" x14ac:dyDescent="0.25">
      <c r="A30" s="262">
        <f>'10.Grain Production details'!A61</f>
        <v>0</v>
      </c>
      <c r="B30" s="262">
        <f>'10.Grain Production details'!B61</f>
        <v>0</v>
      </c>
      <c r="C30" s="262">
        <f>'10.Grain Production details'!C61</f>
        <v>0</v>
      </c>
      <c r="D30" s="262">
        <f>'10.Grain Production details'!D61</f>
        <v>0</v>
      </c>
      <c r="E30" s="262">
        <f>'10.Grain Production details'!E61</f>
        <v>0</v>
      </c>
      <c r="F30" s="262">
        <f>'10.Grain Production details'!F61</f>
        <v>0</v>
      </c>
      <c r="G30" s="262">
        <f>'10.Grain Production details'!G61</f>
        <v>0</v>
      </c>
      <c r="H30" s="262">
        <f>'10.Grain Production details'!H61</f>
        <v>0</v>
      </c>
    </row>
    <row r="31" spans="1:8" ht="15.75" customHeight="1" x14ac:dyDescent="0.25">
      <c r="A31" s="262">
        <f>'10.Grain Production details'!A62</f>
        <v>0</v>
      </c>
      <c r="B31" s="262">
        <f>'10.Grain Production details'!B62</f>
        <v>0</v>
      </c>
      <c r="C31" s="262">
        <f>'10.Grain Production details'!C62</f>
        <v>0</v>
      </c>
      <c r="D31" s="262">
        <f>'10.Grain Production details'!D62</f>
        <v>0</v>
      </c>
      <c r="E31" s="262">
        <f>'10.Grain Production details'!E62</f>
        <v>0</v>
      </c>
      <c r="F31" s="262">
        <f>'10.Grain Production details'!F62</f>
        <v>0</v>
      </c>
      <c r="G31" s="262">
        <f>'10.Grain Production details'!G62</f>
        <v>0</v>
      </c>
      <c r="H31" s="262">
        <f>'10.Grain Production details'!H62</f>
        <v>0</v>
      </c>
    </row>
    <row r="32" spans="1:8" ht="15.75" customHeight="1" x14ac:dyDescent="0.25">
      <c r="A32" s="262">
        <f>'10.Grain Production details'!B63</f>
        <v>0</v>
      </c>
      <c r="B32" s="262">
        <f>'10.Grain Production details'!C63</f>
        <v>0</v>
      </c>
      <c r="C32" s="262">
        <f>'10.Grain Production details'!D63</f>
        <v>0</v>
      </c>
      <c r="D32" s="262">
        <f>'10.Grain Production details'!E63</f>
        <v>0</v>
      </c>
      <c r="E32" s="262">
        <f>'10.Grain Production details'!F63</f>
        <v>0</v>
      </c>
      <c r="F32" s="262">
        <f>'10.Grain Production details'!G63</f>
        <v>0</v>
      </c>
      <c r="G32" s="262">
        <f>'10.Grain Production details'!H63</f>
        <v>0</v>
      </c>
      <c r="H32" s="262">
        <f>'10.Grain Production details'!I63</f>
        <v>0</v>
      </c>
    </row>
    <row r="33" spans="1:8" ht="15.75" customHeight="1" x14ac:dyDescent="0.25">
      <c r="A33" s="77" t="s">
        <v>578</v>
      </c>
      <c r="B33" s="262">
        <f t="shared" ref="B33:H33" si="1">SUM(B11:B32)</f>
        <v>980</v>
      </c>
      <c r="C33" s="262">
        <f t="shared" si="1"/>
        <v>1225</v>
      </c>
      <c r="D33" s="262">
        <f t="shared" si="1"/>
        <v>1470</v>
      </c>
      <c r="E33" s="262">
        <f t="shared" si="1"/>
        <v>1715</v>
      </c>
      <c r="F33" s="262">
        <f t="shared" si="1"/>
        <v>1959.9999999999998</v>
      </c>
      <c r="G33" s="262">
        <f t="shared" si="1"/>
        <v>2205</v>
      </c>
      <c r="H33" s="262">
        <f t="shared" si="1"/>
        <v>2450</v>
      </c>
    </row>
    <row r="34" spans="1:8" ht="15.75" customHeight="1" x14ac:dyDescent="0.25">
      <c r="A34" s="262" t="str">
        <f>'11.F&amp;V Crop Production details'!A1:H1</f>
        <v>Fruit  &amp; Vegetables Crop Production Details</v>
      </c>
      <c r="B34" s="262"/>
      <c r="C34" s="262"/>
      <c r="D34" s="262"/>
      <c r="E34" s="262"/>
      <c r="F34" s="262"/>
      <c r="G34" s="262"/>
      <c r="H34" s="262"/>
    </row>
    <row r="35" spans="1:8" ht="15.75" customHeight="1" x14ac:dyDescent="0.25">
      <c r="A35" s="262" t="str">
        <f>'11.F&amp;V Crop Production details'!A46</f>
        <v>Onion</v>
      </c>
      <c r="B35" s="262">
        <f>'11.F&amp;V Crop Production details'!B46</f>
        <v>0</v>
      </c>
      <c r="C35" s="262">
        <f>'11.F&amp;V Crop Production details'!C46</f>
        <v>0</v>
      </c>
      <c r="D35" s="262">
        <f>'11.F&amp;V Crop Production details'!D46</f>
        <v>0</v>
      </c>
      <c r="E35" s="262">
        <f>'11.F&amp;V Crop Production details'!E46</f>
        <v>0</v>
      </c>
      <c r="F35" s="262">
        <f>'11.F&amp;V Crop Production details'!F46</f>
        <v>0</v>
      </c>
      <c r="G35" s="262">
        <f>'11.F&amp;V Crop Production details'!G46</f>
        <v>0</v>
      </c>
      <c r="H35" s="262">
        <f>'11.F&amp;V Crop Production details'!H46</f>
        <v>0</v>
      </c>
    </row>
    <row r="36" spans="1:8" ht="15.75" customHeight="1" x14ac:dyDescent="0.25">
      <c r="A36" s="262" t="str">
        <f>'11.F&amp;V Crop Production details'!A47</f>
        <v>Tomato</v>
      </c>
      <c r="B36" s="262">
        <f>'11.F&amp;V Crop Production details'!B47</f>
        <v>0</v>
      </c>
      <c r="C36" s="262">
        <f>'11.F&amp;V Crop Production details'!C47</f>
        <v>0</v>
      </c>
      <c r="D36" s="262">
        <f>'11.F&amp;V Crop Production details'!D47</f>
        <v>0</v>
      </c>
      <c r="E36" s="262">
        <f>'11.F&amp;V Crop Production details'!E47</f>
        <v>0</v>
      </c>
      <c r="F36" s="262">
        <f>'11.F&amp;V Crop Production details'!F47</f>
        <v>0</v>
      </c>
      <c r="G36" s="262">
        <f>'11.F&amp;V Crop Production details'!G47</f>
        <v>0</v>
      </c>
      <c r="H36" s="262">
        <f>'11.F&amp;V Crop Production details'!H47</f>
        <v>0</v>
      </c>
    </row>
    <row r="37" spans="1:8" ht="15.75" customHeight="1" x14ac:dyDescent="0.25">
      <c r="A37" s="262" t="str">
        <f>'11.F&amp;V Crop Production details'!A48</f>
        <v>Okra</v>
      </c>
      <c r="B37" s="262">
        <f>'11.F&amp;V Crop Production details'!B48</f>
        <v>0</v>
      </c>
      <c r="C37" s="262">
        <f>'11.F&amp;V Crop Production details'!C48</f>
        <v>0</v>
      </c>
      <c r="D37" s="262">
        <f>'11.F&amp;V Crop Production details'!D48</f>
        <v>0</v>
      </c>
      <c r="E37" s="262">
        <f>'11.F&amp;V Crop Production details'!E48</f>
        <v>0</v>
      </c>
      <c r="F37" s="262">
        <f>'11.F&amp;V Crop Production details'!F48</f>
        <v>0</v>
      </c>
      <c r="G37" s="262">
        <f>'11.F&amp;V Crop Production details'!G48</f>
        <v>0</v>
      </c>
      <c r="H37" s="262">
        <f>'11.F&amp;V Crop Production details'!H48</f>
        <v>0</v>
      </c>
    </row>
    <row r="38" spans="1:8" ht="15.75" customHeight="1" x14ac:dyDescent="0.25">
      <c r="A38" s="262" t="str">
        <f>'11.F&amp;V Crop Production details'!A49</f>
        <v>Chilli</v>
      </c>
      <c r="B38" s="262">
        <f>'11.F&amp;V Crop Production details'!B49</f>
        <v>0</v>
      </c>
      <c r="C38" s="262">
        <f>'11.F&amp;V Crop Production details'!C49</f>
        <v>0</v>
      </c>
      <c r="D38" s="262">
        <f>'11.F&amp;V Crop Production details'!D49</f>
        <v>0</v>
      </c>
      <c r="E38" s="262">
        <f>'11.F&amp;V Crop Production details'!E49</f>
        <v>0</v>
      </c>
      <c r="F38" s="262">
        <f>'11.F&amp;V Crop Production details'!F49</f>
        <v>0</v>
      </c>
      <c r="G38" s="262">
        <f>'11.F&amp;V Crop Production details'!G49</f>
        <v>0</v>
      </c>
      <c r="H38" s="262">
        <f>'11.F&amp;V Crop Production details'!H49</f>
        <v>0</v>
      </c>
    </row>
    <row r="39" spans="1:8" ht="15.75" customHeight="1" x14ac:dyDescent="0.25">
      <c r="A39" s="262" t="str">
        <f>'11.F&amp;V Crop Production details'!A50</f>
        <v>Potato</v>
      </c>
      <c r="B39" s="262">
        <f>'11.F&amp;V Crop Production details'!B50</f>
        <v>0</v>
      </c>
      <c r="C39" s="262">
        <f>'11.F&amp;V Crop Production details'!C50</f>
        <v>0</v>
      </c>
      <c r="D39" s="262">
        <f>'11.F&amp;V Crop Production details'!D50</f>
        <v>0</v>
      </c>
      <c r="E39" s="262">
        <f>'11.F&amp;V Crop Production details'!E50</f>
        <v>0</v>
      </c>
      <c r="F39" s="262">
        <f>'11.F&amp;V Crop Production details'!F50</f>
        <v>0</v>
      </c>
      <c r="G39" s="262">
        <f>'11.F&amp;V Crop Production details'!G50</f>
        <v>0</v>
      </c>
      <c r="H39" s="262">
        <f>'11.F&amp;V Crop Production details'!H50</f>
        <v>0</v>
      </c>
    </row>
    <row r="40" spans="1:8" ht="15.75" customHeight="1" x14ac:dyDescent="0.25">
      <c r="A40" s="262">
        <f>'11.F&amp;V Crop Production details'!A51</f>
        <v>0</v>
      </c>
      <c r="B40" s="262">
        <f>'11.F&amp;V Crop Production details'!B51</f>
        <v>0</v>
      </c>
      <c r="C40" s="262">
        <f>'11.F&amp;V Crop Production details'!C51</f>
        <v>0</v>
      </c>
      <c r="D40" s="262">
        <f>'11.F&amp;V Crop Production details'!D51</f>
        <v>0</v>
      </c>
      <c r="E40" s="262">
        <f>'11.F&amp;V Crop Production details'!E51</f>
        <v>0</v>
      </c>
      <c r="F40" s="262">
        <f>'11.F&amp;V Crop Production details'!F51</f>
        <v>0</v>
      </c>
      <c r="G40" s="262">
        <f>'11.F&amp;V Crop Production details'!G51</f>
        <v>0</v>
      </c>
      <c r="H40" s="262">
        <f>'11.F&amp;V Crop Production details'!H51</f>
        <v>0</v>
      </c>
    </row>
    <row r="41" spans="1:8" ht="15.75" customHeight="1" x14ac:dyDescent="0.25">
      <c r="A41" s="262">
        <f>'11.F&amp;V Crop Production details'!A52</f>
        <v>0</v>
      </c>
      <c r="B41" s="262">
        <f>'11.F&amp;V Crop Production details'!B52</f>
        <v>0</v>
      </c>
      <c r="C41" s="262">
        <f>'11.F&amp;V Crop Production details'!C52</f>
        <v>0</v>
      </c>
      <c r="D41" s="262">
        <f>'11.F&amp;V Crop Production details'!D52</f>
        <v>0</v>
      </c>
      <c r="E41" s="262">
        <f>'11.F&amp;V Crop Production details'!E52</f>
        <v>0</v>
      </c>
      <c r="F41" s="262">
        <f>'11.F&amp;V Crop Production details'!F52</f>
        <v>0</v>
      </c>
      <c r="G41" s="262">
        <f>'11.F&amp;V Crop Production details'!G52</f>
        <v>0</v>
      </c>
      <c r="H41" s="262">
        <f>'11.F&amp;V Crop Production details'!H52</f>
        <v>0</v>
      </c>
    </row>
    <row r="42" spans="1:8" ht="15.75" customHeight="1" x14ac:dyDescent="0.25">
      <c r="A42" s="262">
        <f>'11.F&amp;V Crop Production details'!A53</f>
        <v>0</v>
      </c>
      <c r="B42" s="262">
        <f>'11.F&amp;V Crop Production details'!B53</f>
        <v>0</v>
      </c>
      <c r="C42" s="262">
        <f>'11.F&amp;V Crop Production details'!C53</f>
        <v>0</v>
      </c>
      <c r="D42" s="262">
        <f>'11.F&amp;V Crop Production details'!D53</f>
        <v>0</v>
      </c>
      <c r="E42" s="262">
        <f>'11.F&amp;V Crop Production details'!E53</f>
        <v>0</v>
      </c>
      <c r="F42" s="262">
        <f>'11.F&amp;V Crop Production details'!F53</f>
        <v>0</v>
      </c>
      <c r="G42" s="262">
        <f>'11.F&amp;V Crop Production details'!G53</f>
        <v>0</v>
      </c>
      <c r="H42" s="262">
        <f>'11.F&amp;V Crop Production details'!H53</f>
        <v>0</v>
      </c>
    </row>
    <row r="43" spans="1:8" ht="15.75" customHeight="1" x14ac:dyDescent="0.25">
      <c r="A43" s="262">
        <f>'11.F&amp;V Crop Production details'!A54</f>
        <v>0</v>
      </c>
      <c r="B43" s="262">
        <f>'11.F&amp;V Crop Production details'!B54</f>
        <v>0</v>
      </c>
      <c r="C43" s="262">
        <f>'11.F&amp;V Crop Production details'!C54</f>
        <v>0</v>
      </c>
      <c r="D43" s="262">
        <f>'11.F&amp;V Crop Production details'!D54</f>
        <v>0</v>
      </c>
      <c r="E43" s="262">
        <f>'11.F&amp;V Crop Production details'!E54</f>
        <v>0</v>
      </c>
      <c r="F43" s="262">
        <f>'11.F&amp;V Crop Production details'!F54</f>
        <v>0</v>
      </c>
      <c r="G43" s="262">
        <f>'11.F&amp;V Crop Production details'!G54</f>
        <v>0</v>
      </c>
      <c r="H43" s="262">
        <f>'11.F&amp;V Crop Production details'!H54</f>
        <v>0</v>
      </c>
    </row>
    <row r="44" spans="1:8" ht="15.75" customHeight="1" x14ac:dyDescent="0.25">
      <c r="A44" s="262" t="str">
        <f>'11.F&amp;V Crop Production details'!A55</f>
        <v>Onion</v>
      </c>
      <c r="B44" s="262">
        <f>'11.F&amp;V Crop Production details'!B55</f>
        <v>0</v>
      </c>
      <c r="C44" s="262">
        <f>'11.F&amp;V Crop Production details'!C55</f>
        <v>0</v>
      </c>
      <c r="D44" s="262">
        <f>'11.F&amp;V Crop Production details'!D55</f>
        <v>0</v>
      </c>
      <c r="E44" s="262">
        <f>'11.F&amp;V Crop Production details'!E55</f>
        <v>0</v>
      </c>
      <c r="F44" s="262">
        <f>'11.F&amp;V Crop Production details'!F55</f>
        <v>0</v>
      </c>
      <c r="G44" s="262">
        <f>'11.F&amp;V Crop Production details'!G55</f>
        <v>0</v>
      </c>
      <c r="H44" s="262">
        <f>'11.F&amp;V Crop Production details'!H55</f>
        <v>0</v>
      </c>
    </row>
    <row r="45" spans="1:8" ht="15.75" customHeight="1" x14ac:dyDescent="0.25">
      <c r="A45" s="262" t="str">
        <f>'11.F&amp;V Crop Production details'!A56</f>
        <v>Tomato</v>
      </c>
      <c r="B45" s="262">
        <f>'11.F&amp;V Crop Production details'!B56</f>
        <v>0</v>
      </c>
      <c r="C45" s="262">
        <f>'11.F&amp;V Crop Production details'!C56</f>
        <v>0</v>
      </c>
      <c r="D45" s="262">
        <f>'11.F&amp;V Crop Production details'!D56</f>
        <v>0</v>
      </c>
      <c r="E45" s="262">
        <f>'11.F&amp;V Crop Production details'!E56</f>
        <v>0</v>
      </c>
      <c r="F45" s="262">
        <f>'11.F&amp;V Crop Production details'!F56</f>
        <v>0</v>
      </c>
      <c r="G45" s="262">
        <f>'11.F&amp;V Crop Production details'!G56</f>
        <v>0</v>
      </c>
      <c r="H45" s="262">
        <f>'11.F&amp;V Crop Production details'!H56</f>
        <v>0</v>
      </c>
    </row>
    <row r="46" spans="1:8" ht="15.75" customHeight="1" x14ac:dyDescent="0.25">
      <c r="A46" s="262" t="str">
        <f>'11.F&amp;V Crop Production details'!A57</f>
        <v>Okra</v>
      </c>
      <c r="B46" s="262">
        <f>'11.F&amp;V Crop Production details'!B57</f>
        <v>0</v>
      </c>
      <c r="C46" s="262">
        <f>'11.F&amp;V Crop Production details'!C57</f>
        <v>0</v>
      </c>
      <c r="D46" s="262">
        <f>'11.F&amp;V Crop Production details'!D57</f>
        <v>0</v>
      </c>
      <c r="E46" s="262">
        <f>'11.F&amp;V Crop Production details'!E57</f>
        <v>0</v>
      </c>
      <c r="F46" s="262">
        <f>'11.F&amp;V Crop Production details'!F57</f>
        <v>0</v>
      </c>
      <c r="G46" s="262">
        <f>'11.F&amp;V Crop Production details'!G57</f>
        <v>0</v>
      </c>
      <c r="H46" s="262">
        <f>'11.F&amp;V Crop Production details'!H57</f>
        <v>0</v>
      </c>
    </row>
    <row r="47" spans="1:8" ht="15.75" customHeight="1" x14ac:dyDescent="0.25">
      <c r="A47" s="262" t="str">
        <f>'11.F&amp;V Crop Production details'!A58</f>
        <v>Chilli</v>
      </c>
      <c r="B47" s="262">
        <f>'11.F&amp;V Crop Production details'!B58</f>
        <v>0</v>
      </c>
      <c r="C47" s="262">
        <f>'11.F&amp;V Crop Production details'!C58</f>
        <v>0</v>
      </c>
      <c r="D47" s="262">
        <f>'11.F&amp;V Crop Production details'!D58</f>
        <v>0</v>
      </c>
      <c r="E47" s="262">
        <f>'11.F&amp;V Crop Production details'!E58</f>
        <v>0</v>
      </c>
      <c r="F47" s="262">
        <f>'11.F&amp;V Crop Production details'!F58</f>
        <v>0</v>
      </c>
      <c r="G47" s="262">
        <f>'11.F&amp;V Crop Production details'!G58</f>
        <v>0</v>
      </c>
      <c r="H47" s="262">
        <f>'11.F&amp;V Crop Production details'!H58</f>
        <v>0</v>
      </c>
    </row>
    <row r="48" spans="1:8" ht="15.75" customHeight="1" x14ac:dyDescent="0.25">
      <c r="A48" s="262" t="str">
        <f>'11.F&amp;V Crop Production details'!A59</f>
        <v>Brinjal</v>
      </c>
      <c r="B48" s="262">
        <f>'11.F&amp;V Crop Production details'!B59</f>
        <v>0</v>
      </c>
      <c r="C48" s="262">
        <f>'11.F&amp;V Crop Production details'!C59</f>
        <v>0</v>
      </c>
      <c r="D48" s="262">
        <f>'11.F&amp;V Crop Production details'!D59</f>
        <v>0</v>
      </c>
      <c r="E48" s="262">
        <f>'11.F&amp;V Crop Production details'!E59</f>
        <v>0</v>
      </c>
      <c r="F48" s="262">
        <f>'11.F&amp;V Crop Production details'!F59</f>
        <v>0</v>
      </c>
      <c r="G48" s="262">
        <f>'11.F&amp;V Crop Production details'!G59</f>
        <v>0</v>
      </c>
      <c r="H48" s="262">
        <f>'11.F&amp;V Crop Production details'!H59</f>
        <v>0</v>
      </c>
    </row>
    <row r="49" spans="1:8" ht="15.75" customHeight="1" x14ac:dyDescent="0.25">
      <c r="A49" s="262">
        <f>'11.F&amp;V Crop Production details'!A60</f>
        <v>0</v>
      </c>
      <c r="B49" s="262">
        <f>'11.F&amp;V Crop Production details'!B60</f>
        <v>0</v>
      </c>
      <c r="C49" s="262">
        <f>'11.F&amp;V Crop Production details'!C60</f>
        <v>0</v>
      </c>
      <c r="D49" s="262">
        <f>'11.F&amp;V Crop Production details'!D60</f>
        <v>0</v>
      </c>
      <c r="E49" s="262">
        <f>'11.F&amp;V Crop Production details'!E60</f>
        <v>0</v>
      </c>
      <c r="F49" s="262">
        <f>'11.F&amp;V Crop Production details'!F60</f>
        <v>0</v>
      </c>
      <c r="G49" s="262">
        <f>'11.F&amp;V Crop Production details'!G60</f>
        <v>0</v>
      </c>
      <c r="H49" s="262">
        <f>'11.F&amp;V Crop Production details'!H60</f>
        <v>0</v>
      </c>
    </row>
    <row r="50" spans="1:8" ht="15.75" customHeight="1" x14ac:dyDescent="0.25">
      <c r="A50" s="262">
        <f>'11.F&amp;V Crop Production details'!A61</f>
        <v>0</v>
      </c>
      <c r="B50" s="262">
        <f>'11.F&amp;V Crop Production details'!B61</f>
        <v>0</v>
      </c>
      <c r="C50" s="262">
        <f>'11.F&amp;V Crop Production details'!C61</f>
        <v>0</v>
      </c>
      <c r="D50" s="262">
        <f>'11.F&amp;V Crop Production details'!D61</f>
        <v>0</v>
      </c>
      <c r="E50" s="262">
        <f>'11.F&amp;V Crop Production details'!E61</f>
        <v>0</v>
      </c>
      <c r="F50" s="262">
        <f>'11.F&amp;V Crop Production details'!F61</f>
        <v>0</v>
      </c>
      <c r="G50" s="262">
        <f>'11.F&amp;V Crop Production details'!G61</f>
        <v>0</v>
      </c>
      <c r="H50" s="262">
        <f>'11.F&amp;V Crop Production details'!H61</f>
        <v>0</v>
      </c>
    </row>
    <row r="51" spans="1:8" ht="15.75" customHeight="1" x14ac:dyDescent="0.25">
      <c r="A51" s="262">
        <f>'11.F&amp;V Crop Production details'!A62</f>
        <v>0</v>
      </c>
      <c r="B51" s="262">
        <f>'11.F&amp;V Crop Production details'!B62</f>
        <v>0</v>
      </c>
      <c r="C51" s="262">
        <f>'11.F&amp;V Crop Production details'!C62</f>
        <v>0</v>
      </c>
      <c r="D51" s="262">
        <f>'11.F&amp;V Crop Production details'!D62</f>
        <v>0</v>
      </c>
      <c r="E51" s="262">
        <f>'11.F&amp;V Crop Production details'!E62</f>
        <v>0</v>
      </c>
      <c r="F51" s="262">
        <f>'11.F&amp;V Crop Production details'!F62</f>
        <v>0</v>
      </c>
      <c r="G51" s="262">
        <f>'11.F&amp;V Crop Production details'!G62</f>
        <v>0</v>
      </c>
      <c r="H51" s="262">
        <f>'11.F&amp;V Crop Production details'!H62</f>
        <v>0</v>
      </c>
    </row>
    <row r="52" spans="1:8" ht="15.75" customHeight="1" x14ac:dyDescent="0.25">
      <c r="A52" s="262">
        <f>'11.F&amp;V Crop Production details'!A63</f>
        <v>0</v>
      </c>
      <c r="B52" s="262">
        <f>'11.F&amp;V Crop Production details'!B63</f>
        <v>0</v>
      </c>
      <c r="C52" s="262">
        <f>'11.F&amp;V Crop Production details'!C63</f>
        <v>0</v>
      </c>
      <c r="D52" s="262">
        <f>'11.F&amp;V Crop Production details'!D63</f>
        <v>0</v>
      </c>
      <c r="E52" s="262">
        <f>'11.F&amp;V Crop Production details'!E63</f>
        <v>0</v>
      </c>
      <c r="F52" s="262">
        <f>'11.F&amp;V Crop Production details'!F63</f>
        <v>0</v>
      </c>
      <c r="G52" s="262">
        <f>'11.F&amp;V Crop Production details'!G63</f>
        <v>0</v>
      </c>
      <c r="H52" s="262">
        <f>'11.F&amp;V Crop Production details'!H63</f>
        <v>0</v>
      </c>
    </row>
    <row r="53" spans="1:8" ht="15.75" customHeight="1" x14ac:dyDescent="0.25">
      <c r="A53" s="262">
        <f>'11.F&amp;V Crop Production details'!A64</f>
        <v>0</v>
      </c>
      <c r="B53" s="262"/>
      <c r="C53" s="262"/>
      <c r="D53" s="262"/>
      <c r="E53" s="262"/>
      <c r="F53" s="262"/>
      <c r="G53" s="262"/>
      <c r="H53" s="262"/>
    </row>
    <row r="54" spans="1:8" ht="15.75" customHeight="1" x14ac:dyDescent="0.25">
      <c r="A54" s="262">
        <f>'11.F&amp;V Crop Production details'!A65</f>
        <v>0</v>
      </c>
      <c r="B54" s="262"/>
      <c r="C54" s="262"/>
      <c r="D54" s="262"/>
      <c r="E54" s="262"/>
      <c r="F54" s="262"/>
      <c r="G54" s="262"/>
      <c r="H54" s="262"/>
    </row>
    <row r="55" spans="1:8" ht="15.75" customHeight="1" x14ac:dyDescent="0.25">
      <c r="A55" s="262">
        <f>'11.F&amp;V Crop Production details'!A66</f>
        <v>0</v>
      </c>
      <c r="B55" s="262"/>
      <c r="C55" s="262"/>
      <c r="D55" s="262"/>
      <c r="E55" s="262"/>
      <c r="F55" s="262"/>
      <c r="G55" s="262"/>
      <c r="H55" s="262"/>
    </row>
    <row r="56" spans="1:8" ht="15.75" customHeight="1" x14ac:dyDescent="0.25">
      <c r="A56" s="262" t="str">
        <f>'11.F&amp;V Crop Production details'!A67</f>
        <v>Pomegranate</v>
      </c>
      <c r="B56" s="262">
        <f>'11.F&amp;V Crop Production details'!B67</f>
        <v>0</v>
      </c>
      <c r="C56" s="262">
        <f>'11.F&amp;V Crop Production details'!C67</f>
        <v>0</v>
      </c>
      <c r="D56" s="262">
        <f>'11.F&amp;V Crop Production details'!D67</f>
        <v>0</v>
      </c>
      <c r="E56" s="262">
        <f>'11.F&amp;V Crop Production details'!E67</f>
        <v>0</v>
      </c>
      <c r="F56" s="262">
        <f>'11.F&amp;V Crop Production details'!F67</f>
        <v>0</v>
      </c>
      <c r="G56" s="262">
        <f>'11.F&amp;V Crop Production details'!G67</f>
        <v>0</v>
      </c>
      <c r="H56" s="262">
        <f>'11.F&amp;V Crop Production details'!H67</f>
        <v>0</v>
      </c>
    </row>
    <row r="57" spans="1:8" ht="15.75" customHeight="1" x14ac:dyDescent="0.25">
      <c r="A57" s="262" t="str">
        <f>'11.F&amp;V Crop Production details'!A68</f>
        <v>Custard Apple</v>
      </c>
      <c r="B57" s="262">
        <f>'11.F&amp;V Crop Production details'!B68</f>
        <v>0</v>
      </c>
      <c r="C57" s="262">
        <f>'11.F&amp;V Crop Production details'!C68</f>
        <v>0</v>
      </c>
      <c r="D57" s="262">
        <f>'11.F&amp;V Crop Production details'!D68</f>
        <v>0</v>
      </c>
      <c r="E57" s="262">
        <f>'11.F&amp;V Crop Production details'!E68</f>
        <v>0</v>
      </c>
      <c r="F57" s="262">
        <f>'11.F&amp;V Crop Production details'!F68</f>
        <v>0</v>
      </c>
      <c r="G57" s="262">
        <f>'11.F&amp;V Crop Production details'!G68</f>
        <v>0</v>
      </c>
      <c r="H57" s="262">
        <f>'11.F&amp;V Crop Production details'!H68</f>
        <v>0</v>
      </c>
    </row>
    <row r="58" spans="1:8" ht="15.75" customHeight="1" x14ac:dyDescent="0.25">
      <c r="A58" s="262" t="str">
        <f>'11.F&amp;V Crop Production details'!A69</f>
        <v>Guava</v>
      </c>
      <c r="B58" s="262">
        <f>'11.F&amp;V Crop Production details'!B69</f>
        <v>0</v>
      </c>
      <c r="C58" s="262">
        <f>'11.F&amp;V Crop Production details'!C69</f>
        <v>0</v>
      </c>
      <c r="D58" s="262">
        <f>'11.F&amp;V Crop Production details'!D69</f>
        <v>0</v>
      </c>
      <c r="E58" s="262">
        <f>'11.F&amp;V Crop Production details'!E69</f>
        <v>0</v>
      </c>
      <c r="F58" s="262">
        <f>'11.F&amp;V Crop Production details'!F69</f>
        <v>0</v>
      </c>
      <c r="G58" s="262">
        <f>'11.F&amp;V Crop Production details'!G69</f>
        <v>0</v>
      </c>
      <c r="H58" s="262">
        <f>'11.F&amp;V Crop Production details'!H69</f>
        <v>0</v>
      </c>
    </row>
    <row r="59" spans="1:8" ht="15.75" customHeight="1" x14ac:dyDescent="0.25">
      <c r="A59" s="262" t="str">
        <f>'11.F&amp;V Crop Production details'!A70</f>
        <v>Citrus</v>
      </c>
      <c r="B59" s="262">
        <f>'11.F&amp;V Crop Production details'!B70</f>
        <v>0</v>
      </c>
      <c r="C59" s="262">
        <f>'11.F&amp;V Crop Production details'!C70</f>
        <v>0</v>
      </c>
      <c r="D59" s="262">
        <f>'11.F&amp;V Crop Production details'!D70</f>
        <v>0</v>
      </c>
      <c r="E59" s="262">
        <f>'11.F&amp;V Crop Production details'!E70</f>
        <v>0</v>
      </c>
      <c r="F59" s="262">
        <f>'11.F&amp;V Crop Production details'!F70</f>
        <v>0</v>
      </c>
      <c r="G59" s="262">
        <f>'11.F&amp;V Crop Production details'!G70</f>
        <v>0</v>
      </c>
      <c r="H59" s="262">
        <f>'11.F&amp;V Crop Production details'!H70</f>
        <v>0</v>
      </c>
    </row>
    <row r="60" spans="1:8" ht="15.75" customHeight="1" x14ac:dyDescent="0.25">
      <c r="A60" s="262"/>
      <c r="B60" s="262"/>
      <c r="C60" s="262"/>
      <c r="D60" s="262"/>
      <c r="E60" s="262"/>
      <c r="F60" s="262"/>
      <c r="G60" s="262"/>
      <c r="H60" s="262"/>
    </row>
    <row r="61" spans="1:8" ht="15.75" customHeight="1" x14ac:dyDescent="0.25">
      <c r="A61" s="77" t="s">
        <v>579</v>
      </c>
      <c r="B61" s="262">
        <f t="shared" ref="B61:H61" si="2">SUM(B35:B59)</f>
        <v>0</v>
      </c>
      <c r="C61" s="262">
        <f t="shared" si="2"/>
        <v>0</v>
      </c>
      <c r="D61" s="262">
        <f t="shared" si="2"/>
        <v>0</v>
      </c>
      <c r="E61" s="262">
        <f t="shared" si="2"/>
        <v>0</v>
      </c>
      <c r="F61" s="262">
        <f t="shared" si="2"/>
        <v>0</v>
      </c>
      <c r="G61" s="262">
        <f t="shared" si="2"/>
        <v>0</v>
      </c>
      <c r="H61" s="262">
        <f t="shared" si="2"/>
        <v>0</v>
      </c>
    </row>
    <row r="62" spans="1:8" ht="15.75" customHeight="1" x14ac:dyDescent="0.25">
      <c r="A62" s="263" t="s">
        <v>580</v>
      </c>
      <c r="B62" s="264">
        <v>0.5</v>
      </c>
      <c r="C62" s="264">
        <v>0.5</v>
      </c>
      <c r="D62" s="264">
        <v>0.5</v>
      </c>
      <c r="E62" s="264">
        <v>0.5</v>
      </c>
      <c r="F62" s="264">
        <v>0.5</v>
      </c>
      <c r="G62" s="264">
        <v>0.5</v>
      </c>
      <c r="H62" s="264">
        <v>0.5</v>
      </c>
    </row>
    <row r="63" spans="1:8" ht="15.75" customHeight="1" x14ac:dyDescent="0.25">
      <c r="A63" s="263" t="s">
        <v>581</v>
      </c>
      <c r="B63" s="264">
        <f t="shared" ref="B63:H63" si="3">1-B62</f>
        <v>0.5</v>
      </c>
      <c r="C63" s="264">
        <f t="shared" si="3"/>
        <v>0.5</v>
      </c>
      <c r="D63" s="264">
        <f t="shared" si="3"/>
        <v>0.5</v>
      </c>
      <c r="E63" s="264">
        <f t="shared" si="3"/>
        <v>0.5</v>
      </c>
      <c r="F63" s="264">
        <f t="shared" si="3"/>
        <v>0.5</v>
      </c>
      <c r="G63" s="264">
        <f t="shared" si="3"/>
        <v>0.5</v>
      </c>
      <c r="H63" s="264">
        <f t="shared" si="3"/>
        <v>0.5</v>
      </c>
    </row>
    <row r="64" spans="1:8" ht="15.75" customHeight="1" x14ac:dyDescent="0.25">
      <c r="A64" s="263"/>
      <c r="B64" s="264"/>
      <c r="C64" s="264"/>
      <c r="D64" s="264"/>
      <c r="E64" s="264"/>
      <c r="F64" s="264"/>
      <c r="G64" s="264"/>
      <c r="H64" s="264"/>
    </row>
    <row r="65" spans="1:8" ht="15.75" customHeight="1" x14ac:dyDescent="0.25">
      <c r="A65" s="263" t="s">
        <v>582</v>
      </c>
      <c r="B65" s="265">
        <f>B33*B62</f>
        <v>490</v>
      </c>
      <c r="C65" s="265">
        <f t="shared" ref="C65:H65" si="4">C33*C62</f>
        <v>612.5</v>
      </c>
      <c r="D65" s="265">
        <f t="shared" si="4"/>
        <v>735</v>
      </c>
      <c r="E65" s="265">
        <f t="shared" si="4"/>
        <v>857.5</v>
      </c>
      <c r="F65" s="265">
        <f t="shared" si="4"/>
        <v>979.99999999999989</v>
      </c>
      <c r="G65" s="265">
        <f t="shared" si="4"/>
        <v>1102.5</v>
      </c>
      <c r="H65" s="265">
        <f t="shared" si="4"/>
        <v>1225</v>
      </c>
    </row>
    <row r="66" spans="1:8" ht="15.75" customHeight="1" x14ac:dyDescent="0.25">
      <c r="A66" s="77"/>
      <c r="B66" s="262"/>
      <c r="C66" s="262"/>
      <c r="D66" s="262"/>
      <c r="E66" s="262"/>
      <c r="F66" s="262"/>
      <c r="G66" s="262"/>
      <c r="H66" s="262"/>
    </row>
    <row r="67" spans="1:8" ht="15.75" customHeight="1" x14ac:dyDescent="0.25">
      <c r="A67" s="77" t="s">
        <v>583</v>
      </c>
      <c r="B67" s="262"/>
      <c r="C67" s="262"/>
      <c r="D67" s="262"/>
      <c r="E67" s="262"/>
      <c r="F67" s="262"/>
      <c r="G67" s="262"/>
      <c r="H67" s="262"/>
    </row>
    <row r="68" spans="1:8" ht="15.75" customHeight="1" x14ac:dyDescent="0.25">
      <c r="A68" s="266" t="str">
        <f t="shared" ref="A68:A89" si="5">A11</f>
        <v>Turmeric</v>
      </c>
      <c r="B68" s="266">
        <f t="shared" ref="B68:B89" si="6">B11*$B$63</f>
        <v>0</v>
      </c>
      <c r="C68" s="266">
        <f t="shared" ref="C68:C83" si="7">C11*$C$63</f>
        <v>0</v>
      </c>
      <c r="D68" s="266">
        <f t="shared" ref="D68:D83" si="8">D11*$D$63</f>
        <v>0</v>
      </c>
      <c r="E68" s="266">
        <f t="shared" ref="E68:E83" si="9">E11*$E$63</f>
        <v>0</v>
      </c>
      <c r="F68" s="266">
        <f t="shared" ref="F68:F83" si="10">F11*$F$63</f>
        <v>0</v>
      </c>
      <c r="G68" s="266">
        <f t="shared" ref="G68:G83" si="11">G11*$G$63</f>
        <v>0</v>
      </c>
      <c r="H68" s="266">
        <f t="shared" ref="H68:H83" si="12">H11*$H$63</f>
        <v>0</v>
      </c>
    </row>
    <row r="69" spans="1:8" ht="15.75" customHeight="1" x14ac:dyDescent="0.25">
      <c r="A69" s="266" t="str">
        <f t="shared" si="5"/>
        <v>Red Gram/Tur</v>
      </c>
      <c r="B69" s="266">
        <f t="shared" si="6"/>
        <v>0</v>
      </c>
      <c r="C69" s="266">
        <f t="shared" si="7"/>
        <v>0</v>
      </c>
      <c r="D69" s="266">
        <f t="shared" si="8"/>
        <v>0</v>
      </c>
      <c r="E69" s="266">
        <f t="shared" si="9"/>
        <v>0</v>
      </c>
      <c r="F69" s="266">
        <f t="shared" si="10"/>
        <v>0</v>
      </c>
      <c r="G69" s="266">
        <f t="shared" si="11"/>
        <v>0</v>
      </c>
      <c r="H69" s="266">
        <f t="shared" si="12"/>
        <v>0</v>
      </c>
    </row>
    <row r="70" spans="1:8" ht="15.75" customHeight="1" x14ac:dyDescent="0.25">
      <c r="A70" s="266" t="str">
        <f t="shared" si="5"/>
        <v>Paddy/Rice</v>
      </c>
      <c r="B70" s="266">
        <f t="shared" si="6"/>
        <v>0</v>
      </c>
      <c r="C70" s="266">
        <f t="shared" si="7"/>
        <v>0</v>
      </c>
      <c r="D70" s="266">
        <f t="shared" si="8"/>
        <v>0</v>
      </c>
      <c r="E70" s="266">
        <f t="shared" si="9"/>
        <v>0</v>
      </c>
      <c r="F70" s="266">
        <f t="shared" si="10"/>
        <v>0</v>
      </c>
      <c r="G70" s="266">
        <f t="shared" si="11"/>
        <v>0</v>
      </c>
      <c r="H70" s="266">
        <f t="shared" si="12"/>
        <v>0</v>
      </c>
    </row>
    <row r="71" spans="1:8" ht="15.75" customHeight="1" x14ac:dyDescent="0.25">
      <c r="A71" s="266" t="str">
        <f t="shared" si="5"/>
        <v>Green Gram/ Moong</v>
      </c>
      <c r="B71" s="266">
        <f t="shared" si="6"/>
        <v>0</v>
      </c>
      <c r="C71" s="266">
        <f t="shared" si="7"/>
        <v>0</v>
      </c>
      <c r="D71" s="266">
        <f t="shared" si="8"/>
        <v>0</v>
      </c>
      <c r="E71" s="266">
        <f t="shared" si="9"/>
        <v>0</v>
      </c>
      <c r="F71" s="266">
        <f t="shared" si="10"/>
        <v>0</v>
      </c>
      <c r="G71" s="266">
        <f t="shared" si="11"/>
        <v>0</v>
      </c>
      <c r="H71" s="266">
        <f t="shared" si="12"/>
        <v>0</v>
      </c>
    </row>
    <row r="72" spans="1:8" ht="15.75" customHeight="1" x14ac:dyDescent="0.25">
      <c r="A72" s="266" t="str">
        <f t="shared" si="5"/>
        <v>Maize</v>
      </c>
      <c r="B72" s="266">
        <f t="shared" si="6"/>
        <v>0</v>
      </c>
      <c r="C72" s="266">
        <f t="shared" si="7"/>
        <v>0</v>
      </c>
      <c r="D72" s="266">
        <f t="shared" si="8"/>
        <v>0</v>
      </c>
      <c r="E72" s="266">
        <f t="shared" si="9"/>
        <v>0</v>
      </c>
      <c r="F72" s="266">
        <f t="shared" si="10"/>
        <v>0</v>
      </c>
      <c r="G72" s="266">
        <f t="shared" si="11"/>
        <v>0</v>
      </c>
      <c r="H72" s="266">
        <f t="shared" si="12"/>
        <v>0</v>
      </c>
    </row>
    <row r="73" spans="1:8" ht="15.75" customHeight="1" x14ac:dyDescent="0.25">
      <c r="A73" s="266" t="str">
        <f t="shared" si="5"/>
        <v>Black Gram/Udid</v>
      </c>
      <c r="B73" s="266">
        <f t="shared" si="6"/>
        <v>0</v>
      </c>
      <c r="C73" s="266">
        <f t="shared" si="7"/>
        <v>0</v>
      </c>
      <c r="D73" s="266">
        <f t="shared" si="8"/>
        <v>0</v>
      </c>
      <c r="E73" s="266">
        <f t="shared" si="9"/>
        <v>0</v>
      </c>
      <c r="F73" s="266">
        <f t="shared" si="10"/>
        <v>0</v>
      </c>
      <c r="G73" s="266">
        <f t="shared" si="11"/>
        <v>0</v>
      </c>
      <c r="H73" s="266">
        <f t="shared" si="12"/>
        <v>0</v>
      </c>
    </row>
    <row r="74" spans="1:8" ht="15.75" customHeight="1" x14ac:dyDescent="0.25">
      <c r="A74" s="266" t="str">
        <f t="shared" si="5"/>
        <v>Bajra</v>
      </c>
      <c r="B74" s="266">
        <f t="shared" si="6"/>
        <v>0</v>
      </c>
      <c r="C74" s="266">
        <f t="shared" si="7"/>
        <v>0</v>
      </c>
      <c r="D74" s="266">
        <f t="shared" si="8"/>
        <v>0</v>
      </c>
      <c r="E74" s="266">
        <f t="shared" si="9"/>
        <v>0</v>
      </c>
      <c r="F74" s="266">
        <f t="shared" si="10"/>
        <v>0</v>
      </c>
      <c r="G74" s="266">
        <f t="shared" si="11"/>
        <v>0</v>
      </c>
      <c r="H74" s="266">
        <f t="shared" si="12"/>
        <v>0</v>
      </c>
    </row>
    <row r="75" spans="1:8" ht="15.75" customHeight="1" x14ac:dyDescent="0.25">
      <c r="A75" s="266" t="str">
        <f t="shared" si="5"/>
        <v>Jawar</v>
      </c>
      <c r="B75" s="266">
        <f t="shared" si="6"/>
        <v>0</v>
      </c>
      <c r="C75" s="266">
        <f t="shared" si="7"/>
        <v>0</v>
      </c>
      <c r="D75" s="266">
        <f t="shared" si="8"/>
        <v>0</v>
      </c>
      <c r="E75" s="266">
        <f t="shared" si="9"/>
        <v>0</v>
      </c>
      <c r="F75" s="266">
        <f t="shared" si="10"/>
        <v>0</v>
      </c>
      <c r="G75" s="266">
        <f t="shared" si="11"/>
        <v>0</v>
      </c>
      <c r="H75" s="266">
        <f t="shared" si="12"/>
        <v>0</v>
      </c>
    </row>
    <row r="76" spans="1:8" ht="15.75" customHeight="1" x14ac:dyDescent="0.25">
      <c r="A76" s="266" t="str">
        <f t="shared" si="5"/>
        <v>Sunflower</v>
      </c>
      <c r="B76" s="266">
        <f t="shared" si="6"/>
        <v>0</v>
      </c>
      <c r="C76" s="266">
        <f t="shared" si="7"/>
        <v>0</v>
      </c>
      <c r="D76" s="266">
        <f t="shared" si="8"/>
        <v>0</v>
      </c>
      <c r="E76" s="266">
        <f t="shared" si="9"/>
        <v>0</v>
      </c>
      <c r="F76" s="266">
        <f t="shared" si="10"/>
        <v>0</v>
      </c>
      <c r="G76" s="266">
        <f t="shared" si="11"/>
        <v>0</v>
      </c>
      <c r="H76" s="266">
        <f t="shared" si="12"/>
        <v>0</v>
      </c>
    </row>
    <row r="77" spans="1:8" ht="15.75" customHeight="1" x14ac:dyDescent="0.25">
      <c r="A77" s="266" t="str">
        <f t="shared" si="5"/>
        <v>Wheat</v>
      </c>
      <c r="B77" s="266">
        <f t="shared" si="6"/>
        <v>0</v>
      </c>
      <c r="C77" s="266">
        <f t="shared" si="7"/>
        <v>0</v>
      </c>
      <c r="D77" s="266">
        <f t="shared" si="8"/>
        <v>0</v>
      </c>
      <c r="E77" s="266">
        <f t="shared" si="9"/>
        <v>0</v>
      </c>
      <c r="F77" s="266">
        <f t="shared" si="10"/>
        <v>0</v>
      </c>
      <c r="G77" s="266">
        <f t="shared" si="11"/>
        <v>0</v>
      </c>
      <c r="H77" s="266">
        <f t="shared" si="12"/>
        <v>0</v>
      </c>
    </row>
    <row r="78" spans="1:8" ht="15.75" customHeight="1" x14ac:dyDescent="0.25">
      <c r="A78" s="266" t="str">
        <f t="shared" si="5"/>
        <v>Bengal Gram/Channa</v>
      </c>
      <c r="B78" s="266">
        <f t="shared" si="6"/>
        <v>0</v>
      </c>
      <c r="C78" s="266">
        <f t="shared" si="7"/>
        <v>0</v>
      </c>
      <c r="D78" s="266">
        <f t="shared" si="8"/>
        <v>0</v>
      </c>
      <c r="E78" s="266">
        <f t="shared" si="9"/>
        <v>0</v>
      </c>
      <c r="F78" s="266">
        <f t="shared" si="10"/>
        <v>0</v>
      </c>
      <c r="G78" s="266">
        <f t="shared" si="11"/>
        <v>0</v>
      </c>
      <c r="H78" s="266">
        <f t="shared" si="12"/>
        <v>0</v>
      </c>
    </row>
    <row r="79" spans="1:8" ht="15.75" customHeight="1" x14ac:dyDescent="0.25">
      <c r="A79" s="266" t="str">
        <f t="shared" si="5"/>
        <v>Jawar</v>
      </c>
      <c r="B79" s="266">
        <f t="shared" si="6"/>
        <v>0</v>
      </c>
      <c r="C79" s="266">
        <f t="shared" si="7"/>
        <v>0</v>
      </c>
      <c r="D79" s="266">
        <f t="shared" si="8"/>
        <v>0</v>
      </c>
      <c r="E79" s="266">
        <f t="shared" si="9"/>
        <v>0</v>
      </c>
      <c r="F79" s="266">
        <f t="shared" si="10"/>
        <v>0</v>
      </c>
      <c r="G79" s="266">
        <f t="shared" si="11"/>
        <v>0</v>
      </c>
      <c r="H79" s="266">
        <f t="shared" si="12"/>
        <v>0</v>
      </c>
    </row>
    <row r="80" spans="1:8" ht="15.75" customHeight="1" x14ac:dyDescent="0.25">
      <c r="A80" s="266" t="str">
        <f t="shared" si="5"/>
        <v>Maize</v>
      </c>
      <c r="B80" s="266">
        <f t="shared" si="6"/>
        <v>0</v>
      </c>
      <c r="C80" s="266">
        <f t="shared" si="7"/>
        <v>0</v>
      </c>
      <c r="D80" s="266">
        <f t="shared" si="8"/>
        <v>0</v>
      </c>
      <c r="E80" s="266">
        <f t="shared" si="9"/>
        <v>0</v>
      </c>
      <c r="F80" s="266">
        <f t="shared" si="10"/>
        <v>0</v>
      </c>
      <c r="G80" s="266">
        <f t="shared" si="11"/>
        <v>0</v>
      </c>
      <c r="H80" s="266">
        <f t="shared" si="12"/>
        <v>0</v>
      </c>
    </row>
    <row r="81" spans="1:12" ht="15.75" customHeight="1" x14ac:dyDescent="0.25">
      <c r="A81" s="266" t="str">
        <f t="shared" si="5"/>
        <v>Safflower</v>
      </c>
      <c r="B81" s="266">
        <f t="shared" si="6"/>
        <v>0</v>
      </c>
      <c r="C81" s="266">
        <f t="shared" si="7"/>
        <v>0</v>
      </c>
      <c r="D81" s="266">
        <f t="shared" si="8"/>
        <v>0</v>
      </c>
      <c r="E81" s="266">
        <f t="shared" si="9"/>
        <v>0</v>
      </c>
      <c r="F81" s="266">
        <f t="shared" si="10"/>
        <v>0</v>
      </c>
      <c r="G81" s="266">
        <f t="shared" si="11"/>
        <v>0</v>
      </c>
      <c r="H81" s="266">
        <f t="shared" si="12"/>
        <v>0</v>
      </c>
    </row>
    <row r="82" spans="1:12" ht="15.75" customHeight="1" x14ac:dyDescent="0.25">
      <c r="A82" s="266">
        <f t="shared" si="5"/>
        <v>0</v>
      </c>
      <c r="B82" s="266">
        <f t="shared" si="6"/>
        <v>0</v>
      </c>
      <c r="C82" s="266">
        <f t="shared" si="7"/>
        <v>0</v>
      </c>
      <c r="D82" s="266">
        <f t="shared" si="8"/>
        <v>0</v>
      </c>
      <c r="E82" s="266">
        <f t="shared" si="9"/>
        <v>0</v>
      </c>
      <c r="F82" s="266">
        <f t="shared" si="10"/>
        <v>0</v>
      </c>
      <c r="G82" s="266">
        <f t="shared" si="11"/>
        <v>0</v>
      </c>
      <c r="H82" s="266">
        <f t="shared" si="12"/>
        <v>0</v>
      </c>
    </row>
    <row r="83" spans="1:12" ht="15.75" customHeight="1" x14ac:dyDescent="0.25">
      <c r="A83" s="266">
        <f t="shared" si="5"/>
        <v>0</v>
      </c>
      <c r="B83" s="266">
        <f t="shared" si="6"/>
        <v>0</v>
      </c>
      <c r="C83" s="266">
        <f t="shared" si="7"/>
        <v>0</v>
      </c>
      <c r="D83" s="266">
        <f t="shared" si="8"/>
        <v>0</v>
      </c>
      <c r="E83" s="266">
        <f t="shared" si="9"/>
        <v>0</v>
      </c>
      <c r="F83" s="266">
        <f t="shared" si="10"/>
        <v>0</v>
      </c>
      <c r="G83" s="266">
        <f t="shared" si="11"/>
        <v>0</v>
      </c>
      <c r="H83" s="266">
        <f t="shared" si="12"/>
        <v>0</v>
      </c>
    </row>
    <row r="84" spans="1:12" ht="15.75" customHeight="1" x14ac:dyDescent="0.25">
      <c r="A84" s="266">
        <f t="shared" si="5"/>
        <v>0</v>
      </c>
      <c r="B84" s="266">
        <f t="shared" si="6"/>
        <v>0</v>
      </c>
      <c r="C84" s="266">
        <f t="shared" ref="C84:H84" si="13">C27*$B$63</f>
        <v>0</v>
      </c>
      <c r="D84" s="266">
        <f t="shared" si="13"/>
        <v>0</v>
      </c>
      <c r="E84" s="266">
        <f t="shared" si="13"/>
        <v>0</v>
      </c>
      <c r="F84" s="266">
        <f t="shared" si="13"/>
        <v>0</v>
      </c>
      <c r="G84" s="266">
        <f t="shared" si="13"/>
        <v>0</v>
      </c>
      <c r="H84" s="266">
        <f t="shared" si="13"/>
        <v>0</v>
      </c>
    </row>
    <row r="85" spans="1:12" ht="15.75" customHeight="1" x14ac:dyDescent="0.25">
      <c r="A85" s="266" t="str">
        <f t="shared" si="5"/>
        <v>Turmeric</v>
      </c>
      <c r="B85" s="266">
        <f t="shared" si="6"/>
        <v>490</v>
      </c>
      <c r="C85" s="266">
        <f t="shared" ref="C85:H85" si="14">C28*$B$63</f>
        <v>612.5</v>
      </c>
      <c r="D85" s="266">
        <f t="shared" si="14"/>
        <v>735</v>
      </c>
      <c r="E85" s="266">
        <f t="shared" si="14"/>
        <v>857.5</v>
      </c>
      <c r="F85" s="266">
        <f t="shared" si="14"/>
        <v>979.99999999999989</v>
      </c>
      <c r="G85" s="266">
        <f t="shared" si="14"/>
        <v>1102.5</v>
      </c>
      <c r="H85" s="266">
        <f t="shared" si="14"/>
        <v>1225</v>
      </c>
    </row>
    <row r="86" spans="1:12" ht="15.75" customHeight="1" x14ac:dyDescent="0.25">
      <c r="A86" s="266">
        <f t="shared" si="5"/>
        <v>0</v>
      </c>
      <c r="B86" s="266">
        <f t="shared" si="6"/>
        <v>0</v>
      </c>
      <c r="C86" s="266">
        <f t="shared" ref="C86:H86" si="15">C29*$B$63</f>
        <v>0</v>
      </c>
      <c r="D86" s="266">
        <f t="shared" si="15"/>
        <v>0</v>
      </c>
      <c r="E86" s="266">
        <f t="shared" si="15"/>
        <v>0</v>
      </c>
      <c r="F86" s="266">
        <f t="shared" si="15"/>
        <v>0</v>
      </c>
      <c r="G86" s="266">
        <f t="shared" si="15"/>
        <v>0</v>
      </c>
      <c r="H86" s="266">
        <f t="shared" si="15"/>
        <v>0</v>
      </c>
    </row>
    <row r="87" spans="1:12" ht="15.75" customHeight="1" x14ac:dyDescent="0.25">
      <c r="A87" s="266">
        <f t="shared" si="5"/>
        <v>0</v>
      </c>
      <c r="B87" s="266">
        <f t="shared" si="6"/>
        <v>0</v>
      </c>
      <c r="C87" s="266">
        <f t="shared" ref="C87:H87" si="16">C30*$B$63</f>
        <v>0</v>
      </c>
      <c r="D87" s="266">
        <f t="shared" si="16"/>
        <v>0</v>
      </c>
      <c r="E87" s="266">
        <f t="shared" si="16"/>
        <v>0</v>
      </c>
      <c r="F87" s="266">
        <f t="shared" si="16"/>
        <v>0</v>
      </c>
      <c r="G87" s="266">
        <f t="shared" si="16"/>
        <v>0</v>
      </c>
      <c r="H87" s="266">
        <f t="shared" si="16"/>
        <v>0</v>
      </c>
    </row>
    <row r="88" spans="1:12" ht="15.75" customHeight="1" x14ac:dyDescent="0.25">
      <c r="A88" s="266">
        <f t="shared" si="5"/>
        <v>0</v>
      </c>
      <c r="B88" s="266">
        <f t="shared" si="6"/>
        <v>0</v>
      </c>
      <c r="C88" s="266">
        <f t="shared" ref="C88:H88" si="17">C31*$B$63</f>
        <v>0</v>
      </c>
      <c r="D88" s="266">
        <f t="shared" si="17"/>
        <v>0</v>
      </c>
      <c r="E88" s="266">
        <f t="shared" si="17"/>
        <v>0</v>
      </c>
      <c r="F88" s="266">
        <f t="shared" si="17"/>
        <v>0</v>
      </c>
      <c r="G88" s="266">
        <f t="shared" si="17"/>
        <v>0</v>
      </c>
      <c r="H88" s="266">
        <f t="shared" si="17"/>
        <v>0</v>
      </c>
    </row>
    <row r="89" spans="1:12" ht="15.75" customHeight="1" x14ac:dyDescent="0.25">
      <c r="A89" s="266">
        <f t="shared" si="5"/>
        <v>0</v>
      </c>
      <c r="B89" s="266">
        <f t="shared" si="6"/>
        <v>0</v>
      </c>
      <c r="C89" s="266">
        <f t="shared" ref="C89:H89" si="18">C32*$B$63</f>
        <v>0</v>
      </c>
      <c r="D89" s="266">
        <f t="shared" si="18"/>
        <v>0</v>
      </c>
      <c r="E89" s="266">
        <f t="shared" si="18"/>
        <v>0</v>
      </c>
      <c r="F89" s="266">
        <f t="shared" si="18"/>
        <v>0</v>
      </c>
      <c r="G89" s="266">
        <f t="shared" si="18"/>
        <v>0</v>
      </c>
      <c r="H89" s="266">
        <f t="shared" si="18"/>
        <v>0</v>
      </c>
    </row>
    <row r="90" spans="1:12" ht="15.75" customHeight="1" x14ac:dyDescent="0.25">
      <c r="A90" s="74"/>
      <c r="B90" s="266"/>
      <c r="C90" s="266"/>
      <c r="D90" s="266"/>
      <c r="E90" s="266"/>
      <c r="F90" s="266"/>
      <c r="G90" s="266"/>
      <c r="H90" s="266"/>
      <c r="J90" s="48"/>
      <c r="K90" s="48"/>
      <c r="L90" s="48"/>
    </row>
    <row r="91" spans="1:12" ht="15.75" customHeight="1" x14ac:dyDescent="0.25">
      <c r="A91" s="266" t="str">
        <f t="shared" ref="A91:A116" si="19">A34</f>
        <v>Fruit  &amp; Vegetables Crop Production Details</v>
      </c>
      <c r="B91" s="266"/>
      <c r="C91" s="266"/>
      <c r="D91" s="266"/>
      <c r="E91" s="266"/>
      <c r="F91" s="266"/>
      <c r="G91" s="266"/>
      <c r="H91" s="266"/>
      <c r="J91" s="48"/>
      <c r="K91" s="48"/>
      <c r="L91" s="48"/>
    </row>
    <row r="92" spans="1:12" ht="15.75" customHeight="1" x14ac:dyDescent="0.25">
      <c r="A92" s="266" t="str">
        <f t="shared" si="19"/>
        <v>Onion</v>
      </c>
      <c r="B92" s="266">
        <f t="shared" ref="B92:H92" si="20">B35</f>
        <v>0</v>
      </c>
      <c r="C92" s="266">
        <f t="shared" si="20"/>
        <v>0</v>
      </c>
      <c r="D92" s="266">
        <f t="shared" si="20"/>
        <v>0</v>
      </c>
      <c r="E92" s="266">
        <f t="shared" si="20"/>
        <v>0</v>
      </c>
      <c r="F92" s="266">
        <f t="shared" si="20"/>
        <v>0</v>
      </c>
      <c r="G92" s="266">
        <f t="shared" si="20"/>
        <v>0</v>
      </c>
      <c r="H92" s="266">
        <f t="shared" si="20"/>
        <v>0</v>
      </c>
      <c r="J92" s="48"/>
      <c r="K92" s="48"/>
      <c r="L92" s="48"/>
    </row>
    <row r="93" spans="1:12" ht="15.75" customHeight="1" x14ac:dyDescent="0.25">
      <c r="A93" s="266" t="str">
        <f t="shared" si="19"/>
        <v>Tomato</v>
      </c>
      <c r="B93" s="266">
        <f t="shared" ref="B93:H93" si="21">B36</f>
        <v>0</v>
      </c>
      <c r="C93" s="266">
        <f t="shared" si="21"/>
        <v>0</v>
      </c>
      <c r="D93" s="266">
        <f t="shared" si="21"/>
        <v>0</v>
      </c>
      <c r="E93" s="266">
        <f t="shared" si="21"/>
        <v>0</v>
      </c>
      <c r="F93" s="266">
        <f t="shared" si="21"/>
        <v>0</v>
      </c>
      <c r="G93" s="266">
        <f t="shared" si="21"/>
        <v>0</v>
      </c>
      <c r="H93" s="266">
        <f t="shared" si="21"/>
        <v>0</v>
      </c>
      <c r="J93" s="48"/>
      <c r="K93" s="48"/>
      <c r="L93" s="48"/>
    </row>
    <row r="94" spans="1:12" ht="15.75" customHeight="1" x14ac:dyDescent="0.25">
      <c r="A94" s="266" t="str">
        <f t="shared" si="19"/>
        <v>Okra</v>
      </c>
      <c r="B94" s="266">
        <f t="shared" ref="B94:H94" si="22">B37</f>
        <v>0</v>
      </c>
      <c r="C94" s="266">
        <f t="shared" si="22"/>
        <v>0</v>
      </c>
      <c r="D94" s="266">
        <f t="shared" si="22"/>
        <v>0</v>
      </c>
      <c r="E94" s="266">
        <f t="shared" si="22"/>
        <v>0</v>
      </c>
      <c r="F94" s="266">
        <f t="shared" si="22"/>
        <v>0</v>
      </c>
      <c r="G94" s="266">
        <f t="shared" si="22"/>
        <v>0</v>
      </c>
      <c r="H94" s="266">
        <f t="shared" si="22"/>
        <v>0</v>
      </c>
      <c r="J94" s="48"/>
      <c r="K94" s="48"/>
      <c r="L94" s="48"/>
    </row>
    <row r="95" spans="1:12" ht="15.75" customHeight="1" x14ac:dyDescent="0.25">
      <c r="A95" s="266" t="str">
        <f t="shared" si="19"/>
        <v>Chilli</v>
      </c>
      <c r="B95" s="266">
        <f t="shared" ref="B95:H95" si="23">B38</f>
        <v>0</v>
      </c>
      <c r="C95" s="266">
        <f t="shared" si="23"/>
        <v>0</v>
      </c>
      <c r="D95" s="266">
        <f t="shared" si="23"/>
        <v>0</v>
      </c>
      <c r="E95" s="266">
        <f t="shared" si="23"/>
        <v>0</v>
      </c>
      <c r="F95" s="266">
        <f t="shared" si="23"/>
        <v>0</v>
      </c>
      <c r="G95" s="266">
        <f t="shared" si="23"/>
        <v>0</v>
      </c>
      <c r="H95" s="266">
        <f t="shared" si="23"/>
        <v>0</v>
      </c>
      <c r="J95" s="48"/>
      <c r="K95" s="48"/>
      <c r="L95" s="48"/>
    </row>
    <row r="96" spans="1:12" ht="15.75" customHeight="1" x14ac:dyDescent="0.25">
      <c r="A96" s="266" t="str">
        <f t="shared" si="19"/>
        <v>Potato</v>
      </c>
      <c r="B96" s="266">
        <f t="shared" ref="B96:H96" si="24">B39</f>
        <v>0</v>
      </c>
      <c r="C96" s="266">
        <f t="shared" si="24"/>
        <v>0</v>
      </c>
      <c r="D96" s="266">
        <f t="shared" si="24"/>
        <v>0</v>
      </c>
      <c r="E96" s="266">
        <f t="shared" si="24"/>
        <v>0</v>
      </c>
      <c r="F96" s="266">
        <f t="shared" si="24"/>
        <v>0</v>
      </c>
      <c r="G96" s="266">
        <f t="shared" si="24"/>
        <v>0</v>
      </c>
      <c r="H96" s="266">
        <f t="shared" si="24"/>
        <v>0</v>
      </c>
      <c r="J96" s="48"/>
      <c r="K96" s="48"/>
      <c r="L96" s="48"/>
    </row>
    <row r="97" spans="1:12" ht="15.75" customHeight="1" x14ac:dyDescent="0.25">
      <c r="A97" s="266">
        <f t="shared" si="19"/>
        <v>0</v>
      </c>
      <c r="B97" s="266">
        <f t="shared" ref="B97:H97" si="25">B40</f>
        <v>0</v>
      </c>
      <c r="C97" s="266">
        <f t="shared" si="25"/>
        <v>0</v>
      </c>
      <c r="D97" s="266">
        <f t="shared" si="25"/>
        <v>0</v>
      </c>
      <c r="E97" s="266">
        <f t="shared" si="25"/>
        <v>0</v>
      </c>
      <c r="F97" s="266">
        <f t="shared" si="25"/>
        <v>0</v>
      </c>
      <c r="G97" s="266">
        <f t="shared" si="25"/>
        <v>0</v>
      </c>
      <c r="H97" s="266">
        <f t="shared" si="25"/>
        <v>0</v>
      </c>
      <c r="J97" s="48"/>
      <c r="K97" s="48"/>
      <c r="L97" s="48"/>
    </row>
    <row r="98" spans="1:12" ht="15.75" customHeight="1" x14ac:dyDescent="0.25">
      <c r="A98" s="266">
        <f t="shared" si="19"/>
        <v>0</v>
      </c>
      <c r="B98" s="266">
        <f t="shared" ref="B98:H98" si="26">B41</f>
        <v>0</v>
      </c>
      <c r="C98" s="266">
        <f t="shared" si="26"/>
        <v>0</v>
      </c>
      <c r="D98" s="266">
        <f t="shared" si="26"/>
        <v>0</v>
      </c>
      <c r="E98" s="266">
        <f t="shared" si="26"/>
        <v>0</v>
      </c>
      <c r="F98" s="266">
        <f t="shared" si="26"/>
        <v>0</v>
      </c>
      <c r="G98" s="266">
        <f t="shared" si="26"/>
        <v>0</v>
      </c>
      <c r="H98" s="266">
        <f t="shared" si="26"/>
        <v>0</v>
      </c>
      <c r="J98" s="48"/>
      <c r="K98" s="48"/>
      <c r="L98" s="48"/>
    </row>
    <row r="99" spans="1:12" ht="15.75" customHeight="1" x14ac:dyDescent="0.25">
      <c r="A99" s="266">
        <f t="shared" si="19"/>
        <v>0</v>
      </c>
      <c r="B99" s="266">
        <f t="shared" ref="B99:H99" si="27">B42</f>
        <v>0</v>
      </c>
      <c r="C99" s="266">
        <f t="shared" si="27"/>
        <v>0</v>
      </c>
      <c r="D99" s="266">
        <f t="shared" si="27"/>
        <v>0</v>
      </c>
      <c r="E99" s="266">
        <f t="shared" si="27"/>
        <v>0</v>
      </c>
      <c r="F99" s="266">
        <f t="shared" si="27"/>
        <v>0</v>
      </c>
      <c r="G99" s="266">
        <f t="shared" si="27"/>
        <v>0</v>
      </c>
      <c r="H99" s="266">
        <f t="shared" si="27"/>
        <v>0</v>
      </c>
      <c r="J99" s="48"/>
      <c r="K99" s="48"/>
      <c r="L99" s="48"/>
    </row>
    <row r="100" spans="1:12" ht="15.75" customHeight="1" x14ac:dyDescent="0.25">
      <c r="A100" s="266">
        <f t="shared" si="19"/>
        <v>0</v>
      </c>
      <c r="B100" s="266">
        <f t="shared" ref="B100:H100" si="28">B43</f>
        <v>0</v>
      </c>
      <c r="C100" s="266">
        <f t="shared" si="28"/>
        <v>0</v>
      </c>
      <c r="D100" s="266">
        <f t="shared" si="28"/>
        <v>0</v>
      </c>
      <c r="E100" s="266">
        <f t="shared" si="28"/>
        <v>0</v>
      </c>
      <c r="F100" s="266">
        <f t="shared" si="28"/>
        <v>0</v>
      </c>
      <c r="G100" s="266">
        <f t="shared" si="28"/>
        <v>0</v>
      </c>
      <c r="H100" s="266">
        <f t="shared" si="28"/>
        <v>0</v>
      </c>
      <c r="J100" s="48"/>
      <c r="K100" s="48"/>
      <c r="L100" s="48"/>
    </row>
    <row r="101" spans="1:12" ht="15.75" customHeight="1" x14ac:dyDescent="0.25">
      <c r="A101" s="266" t="str">
        <f t="shared" si="19"/>
        <v>Onion</v>
      </c>
      <c r="B101" s="266">
        <f t="shared" ref="B101:H101" si="29">B44</f>
        <v>0</v>
      </c>
      <c r="C101" s="266">
        <f t="shared" si="29"/>
        <v>0</v>
      </c>
      <c r="D101" s="266">
        <f t="shared" si="29"/>
        <v>0</v>
      </c>
      <c r="E101" s="266">
        <f t="shared" si="29"/>
        <v>0</v>
      </c>
      <c r="F101" s="266">
        <f t="shared" si="29"/>
        <v>0</v>
      </c>
      <c r="G101" s="266">
        <f t="shared" si="29"/>
        <v>0</v>
      </c>
      <c r="H101" s="266">
        <f t="shared" si="29"/>
        <v>0</v>
      </c>
      <c r="J101" s="48"/>
      <c r="K101" s="48"/>
      <c r="L101" s="48"/>
    </row>
    <row r="102" spans="1:12" ht="15.75" customHeight="1" x14ac:dyDescent="0.25">
      <c r="A102" s="266" t="str">
        <f t="shared" si="19"/>
        <v>Tomato</v>
      </c>
      <c r="B102" s="266">
        <f t="shared" ref="B102:H102" si="30">B45</f>
        <v>0</v>
      </c>
      <c r="C102" s="266">
        <f t="shared" si="30"/>
        <v>0</v>
      </c>
      <c r="D102" s="266">
        <f t="shared" si="30"/>
        <v>0</v>
      </c>
      <c r="E102" s="266">
        <f t="shared" si="30"/>
        <v>0</v>
      </c>
      <c r="F102" s="266">
        <f t="shared" si="30"/>
        <v>0</v>
      </c>
      <c r="G102" s="266">
        <f t="shared" si="30"/>
        <v>0</v>
      </c>
      <c r="H102" s="266">
        <f t="shared" si="30"/>
        <v>0</v>
      </c>
      <c r="J102" s="48"/>
      <c r="K102" s="48"/>
      <c r="L102" s="48"/>
    </row>
    <row r="103" spans="1:12" ht="15.75" customHeight="1" x14ac:dyDescent="0.25">
      <c r="A103" s="266" t="str">
        <f t="shared" si="19"/>
        <v>Okra</v>
      </c>
      <c r="B103" s="266">
        <f t="shared" ref="B103:H103" si="31">B46</f>
        <v>0</v>
      </c>
      <c r="C103" s="266">
        <f t="shared" si="31"/>
        <v>0</v>
      </c>
      <c r="D103" s="266">
        <f t="shared" si="31"/>
        <v>0</v>
      </c>
      <c r="E103" s="266">
        <f t="shared" si="31"/>
        <v>0</v>
      </c>
      <c r="F103" s="266">
        <f t="shared" si="31"/>
        <v>0</v>
      </c>
      <c r="G103" s="266">
        <f t="shared" si="31"/>
        <v>0</v>
      </c>
      <c r="H103" s="266">
        <f t="shared" si="31"/>
        <v>0</v>
      </c>
      <c r="J103" s="48"/>
      <c r="K103" s="48"/>
      <c r="L103" s="48"/>
    </row>
    <row r="104" spans="1:12" ht="15.75" customHeight="1" x14ac:dyDescent="0.25">
      <c r="A104" s="266" t="str">
        <f t="shared" si="19"/>
        <v>Chilli</v>
      </c>
      <c r="B104" s="266">
        <f t="shared" ref="B104:H104" si="32">B47</f>
        <v>0</v>
      </c>
      <c r="C104" s="266">
        <f t="shared" si="32"/>
        <v>0</v>
      </c>
      <c r="D104" s="266">
        <f t="shared" si="32"/>
        <v>0</v>
      </c>
      <c r="E104" s="266">
        <f t="shared" si="32"/>
        <v>0</v>
      </c>
      <c r="F104" s="266">
        <f t="shared" si="32"/>
        <v>0</v>
      </c>
      <c r="G104" s="266">
        <f t="shared" si="32"/>
        <v>0</v>
      </c>
      <c r="H104" s="266">
        <f t="shared" si="32"/>
        <v>0</v>
      </c>
      <c r="J104" s="48"/>
      <c r="K104" s="48"/>
      <c r="L104" s="48"/>
    </row>
    <row r="105" spans="1:12" ht="15.75" customHeight="1" x14ac:dyDescent="0.25">
      <c r="A105" s="266" t="str">
        <f t="shared" si="19"/>
        <v>Brinjal</v>
      </c>
      <c r="B105" s="266">
        <f t="shared" ref="B105:H105" si="33">B48</f>
        <v>0</v>
      </c>
      <c r="C105" s="266">
        <f t="shared" si="33"/>
        <v>0</v>
      </c>
      <c r="D105" s="266">
        <f t="shared" si="33"/>
        <v>0</v>
      </c>
      <c r="E105" s="266">
        <f t="shared" si="33"/>
        <v>0</v>
      </c>
      <c r="F105" s="266">
        <f t="shared" si="33"/>
        <v>0</v>
      </c>
      <c r="G105" s="266">
        <f t="shared" si="33"/>
        <v>0</v>
      </c>
      <c r="H105" s="266">
        <f t="shared" si="33"/>
        <v>0</v>
      </c>
      <c r="J105" s="48"/>
      <c r="K105" s="48"/>
      <c r="L105" s="48"/>
    </row>
    <row r="106" spans="1:12" ht="15.75" hidden="1" customHeight="1" x14ac:dyDescent="0.25">
      <c r="A106" s="266">
        <f t="shared" si="19"/>
        <v>0</v>
      </c>
      <c r="B106" s="266">
        <f t="shared" ref="B106:H106" si="34">B49</f>
        <v>0</v>
      </c>
      <c r="C106" s="266">
        <f t="shared" si="34"/>
        <v>0</v>
      </c>
      <c r="D106" s="266">
        <f t="shared" si="34"/>
        <v>0</v>
      </c>
      <c r="E106" s="266">
        <f t="shared" si="34"/>
        <v>0</v>
      </c>
      <c r="F106" s="266">
        <f t="shared" si="34"/>
        <v>0</v>
      </c>
      <c r="G106" s="266">
        <f t="shared" si="34"/>
        <v>0</v>
      </c>
      <c r="H106" s="266">
        <f t="shared" si="34"/>
        <v>0</v>
      </c>
      <c r="J106" s="48"/>
      <c r="K106" s="48"/>
      <c r="L106" s="48"/>
    </row>
    <row r="107" spans="1:12" ht="15.75" hidden="1" customHeight="1" x14ac:dyDescent="0.25">
      <c r="A107" s="266">
        <f t="shared" si="19"/>
        <v>0</v>
      </c>
      <c r="B107" s="266">
        <f t="shared" ref="B107:H107" si="35">B50</f>
        <v>0</v>
      </c>
      <c r="C107" s="266">
        <f t="shared" si="35"/>
        <v>0</v>
      </c>
      <c r="D107" s="266">
        <f t="shared" si="35"/>
        <v>0</v>
      </c>
      <c r="E107" s="266">
        <f t="shared" si="35"/>
        <v>0</v>
      </c>
      <c r="F107" s="266">
        <f t="shared" si="35"/>
        <v>0</v>
      </c>
      <c r="G107" s="266">
        <f t="shared" si="35"/>
        <v>0</v>
      </c>
      <c r="H107" s="266">
        <f t="shared" si="35"/>
        <v>0</v>
      </c>
      <c r="J107" s="48"/>
      <c r="K107" s="48"/>
      <c r="L107" s="48"/>
    </row>
    <row r="108" spans="1:12" ht="15.75" hidden="1" customHeight="1" x14ac:dyDescent="0.25">
      <c r="A108" s="266">
        <f t="shared" si="19"/>
        <v>0</v>
      </c>
      <c r="B108" s="266">
        <f t="shared" ref="B108:H108" si="36">B51</f>
        <v>0</v>
      </c>
      <c r="C108" s="266">
        <f t="shared" si="36"/>
        <v>0</v>
      </c>
      <c r="D108" s="266">
        <f t="shared" si="36"/>
        <v>0</v>
      </c>
      <c r="E108" s="266">
        <f t="shared" si="36"/>
        <v>0</v>
      </c>
      <c r="F108" s="266">
        <f t="shared" si="36"/>
        <v>0</v>
      </c>
      <c r="G108" s="266">
        <f t="shared" si="36"/>
        <v>0</v>
      </c>
      <c r="H108" s="266">
        <f t="shared" si="36"/>
        <v>0</v>
      </c>
      <c r="J108" s="48"/>
      <c r="K108" s="48"/>
      <c r="L108" s="48"/>
    </row>
    <row r="109" spans="1:12" ht="15.75" hidden="1" customHeight="1" x14ac:dyDescent="0.25">
      <c r="A109" s="266">
        <f t="shared" si="19"/>
        <v>0</v>
      </c>
      <c r="B109" s="266">
        <f t="shared" ref="B109:H109" si="37">B52</f>
        <v>0</v>
      </c>
      <c r="C109" s="266">
        <f t="shared" si="37"/>
        <v>0</v>
      </c>
      <c r="D109" s="266">
        <f t="shared" si="37"/>
        <v>0</v>
      </c>
      <c r="E109" s="266">
        <f t="shared" si="37"/>
        <v>0</v>
      </c>
      <c r="F109" s="266">
        <f t="shared" si="37"/>
        <v>0</v>
      </c>
      <c r="G109" s="266">
        <f t="shared" si="37"/>
        <v>0</v>
      </c>
      <c r="H109" s="266">
        <f t="shared" si="37"/>
        <v>0</v>
      </c>
      <c r="J109" s="48"/>
      <c r="K109" s="48"/>
      <c r="L109" s="48"/>
    </row>
    <row r="110" spans="1:12" ht="15.75" hidden="1" customHeight="1" x14ac:dyDescent="0.25">
      <c r="A110" s="266">
        <f t="shared" si="19"/>
        <v>0</v>
      </c>
      <c r="B110" s="266"/>
      <c r="C110" s="266"/>
      <c r="D110" s="266"/>
      <c r="E110" s="266"/>
      <c r="F110" s="266"/>
      <c r="G110" s="266"/>
      <c r="H110" s="266"/>
      <c r="J110" s="48"/>
      <c r="K110" s="48"/>
      <c r="L110" s="48"/>
    </row>
    <row r="111" spans="1:12" ht="15.75" hidden="1" customHeight="1" x14ac:dyDescent="0.25">
      <c r="A111" s="266">
        <f t="shared" si="19"/>
        <v>0</v>
      </c>
      <c r="B111" s="266"/>
      <c r="C111" s="266"/>
      <c r="D111" s="266"/>
      <c r="E111" s="266"/>
      <c r="F111" s="266"/>
      <c r="G111" s="266"/>
      <c r="H111" s="266"/>
      <c r="J111" s="48"/>
      <c r="K111" s="48"/>
      <c r="L111" s="48"/>
    </row>
    <row r="112" spans="1:12" ht="15.75" customHeight="1" x14ac:dyDescent="0.25">
      <c r="A112" s="266">
        <f t="shared" si="19"/>
        <v>0</v>
      </c>
      <c r="B112" s="266"/>
      <c r="C112" s="266"/>
      <c r="D112" s="266"/>
      <c r="E112" s="266"/>
      <c r="F112" s="266"/>
      <c r="G112" s="266"/>
      <c r="H112" s="266"/>
      <c r="J112" s="48"/>
      <c r="K112" s="48"/>
      <c r="L112" s="48"/>
    </row>
    <row r="113" spans="1:12" ht="15.75" customHeight="1" x14ac:dyDescent="0.25">
      <c r="A113" s="266" t="str">
        <f t="shared" si="19"/>
        <v>Pomegranate</v>
      </c>
      <c r="B113" s="266">
        <f t="shared" ref="B113:H113" si="38">B56</f>
        <v>0</v>
      </c>
      <c r="C113" s="266">
        <f t="shared" si="38"/>
        <v>0</v>
      </c>
      <c r="D113" s="266">
        <f t="shared" si="38"/>
        <v>0</v>
      </c>
      <c r="E113" s="266">
        <f t="shared" si="38"/>
        <v>0</v>
      </c>
      <c r="F113" s="266">
        <f t="shared" si="38"/>
        <v>0</v>
      </c>
      <c r="G113" s="266">
        <f t="shared" si="38"/>
        <v>0</v>
      </c>
      <c r="H113" s="266">
        <f t="shared" si="38"/>
        <v>0</v>
      </c>
      <c r="J113" s="48"/>
      <c r="K113" s="48"/>
      <c r="L113" s="48"/>
    </row>
    <row r="114" spans="1:12" ht="15.75" customHeight="1" x14ac:dyDescent="0.25">
      <c r="A114" s="266" t="str">
        <f t="shared" si="19"/>
        <v>Custard Apple</v>
      </c>
      <c r="B114" s="266">
        <f t="shared" ref="B114:H114" si="39">B57</f>
        <v>0</v>
      </c>
      <c r="C114" s="266">
        <f t="shared" si="39"/>
        <v>0</v>
      </c>
      <c r="D114" s="266">
        <f t="shared" si="39"/>
        <v>0</v>
      </c>
      <c r="E114" s="266">
        <f t="shared" si="39"/>
        <v>0</v>
      </c>
      <c r="F114" s="266">
        <f t="shared" si="39"/>
        <v>0</v>
      </c>
      <c r="G114" s="266">
        <f t="shared" si="39"/>
        <v>0</v>
      </c>
      <c r="H114" s="266">
        <f t="shared" si="39"/>
        <v>0</v>
      </c>
      <c r="J114" s="48"/>
      <c r="K114" s="48"/>
      <c r="L114" s="48"/>
    </row>
    <row r="115" spans="1:12" ht="15.75" customHeight="1" x14ac:dyDescent="0.25">
      <c r="A115" s="266" t="str">
        <f t="shared" si="19"/>
        <v>Guava</v>
      </c>
      <c r="B115" s="266">
        <f t="shared" ref="B115:H115" si="40">B58</f>
        <v>0</v>
      </c>
      <c r="C115" s="266">
        <f t="shared" si="40"/>
        <v>0</v>
      </c>
      <c r="D115" s="266">
        <f t="shared" si="40"/>
        <v>0</v>
      </c>
      <c r="E115" s="266">
        <f t="shared" si="40"/>
        <v>0</v>
      </c>
      <c r="F115" s="266">
        <f t="shared" si="40"/>
        <v>0</v>
      </c>
      <c r="G115" s="266">
        <f t="shared" si="40"/>
        <v>0</v>
      </c>
      <c r="H115" s="266">
        <f t="shared" si="40"/>
        <v>0</v>
      </c>
      <c r="J115" s="48"/>
      <c r="K115" s="48"/>
      <c r="L115" s="48"/>
    </row>
    <row r="116" spans="1:12" ht="15.75" customHeight="1" x14ac:dyDescent="0.25">
      <c r="A116" s="266" t="str">
        <f t="shared" si="19"/>
        <v>Citrus</v>
      </c>
      <c r="B116" s="266">
        <f t="shared" ref="B116:H116" si="41">B59</f>
        <v>0</v>
      </c>
      <c r="C116" s="266">
        <f t="shared" si="41"/>
        <v>0</v>
      </c>
      <c r="D116" s="266">
        <f t="shared" si="41"/>
        <v>0</v>
      </c>
      <c r="E116" s="266">
        <f t="shared" si="41"/>
        <v>0</v>
      </c>
      <c r="F116" s="266">
        <f t="shared" si="41"/>
        <v>0</v>
      </c>
      <c r="G116" s="266">
        <f t="shared" si="41"/>
        <v>0</v>
      </c>
      <c r="H116" s="266">
        <f t="shared" si="41"/>
        <v>0</v>
      </c>
      <c r="J116" s="48"/>
      <c r="K116" s="48"/>
      <c r="L116" s="48"/>
    </row>
    <row r="117" spans="1:12" ht="15.75" customHeight="1" x14ac:dyDescent="0.25">
      <c r="A117" s="74"/>
      <c r="B117" s="266"/>
      <c r="C117" s="266"/>
      <c r="D117" s="266"/>
      <c r="E117" s="266"/>
      <c r="F117" s="266"/>
      <c r="G117" s="266"/>
      <c r="H117" s="266"/>
      <c r="J117" s="48"/>
      <c r="K117" s="48"/>
      <c r="L117" s="48"/>
    </row>
    <row r="118" spans="1:12" ht="15.75" customHeight="1" x14ac:dyDescent="0.25">
      <c r="A118" s="74"/>
      <c r="B118" s="266"/>
      <c r="C118" s="266"/>
      <c r="D118" s="266"/>
      <c r="E118" s="266"/>
      <c r="F118" s="266"/>
      <c r="G118" s="266"/>
      <c r="H118" s="266"/>
      <c r="J118" s="48"/>
      <c r="K118" s="48"/>
      <c r="L118" s="48"/>
    </row>
    <row r="119" spans="1:12" ht="15.75" customHeight="1" x14ac:dyDescent="0.25">
      <c r="A119" s="77" t="s">
        <v>584</v>
      </c>
      <c r="B119" s="74"/>
      <c r="C119" s="74"/>
      <c r="D119" s="74"/>
      <c r="E119" s="74"/>
      <c r="F119" s="74"/>
      <c r="G119" s="74"/>
      <c r="H119" s="74"/>
    </row>
    <row r="120" spans="1:12" ht="15.75" customHeight="1" x14ac:dyDescent="0.25">
      <c r="A120" s="266" t="str">
        <f t="shared" ref="A120:A141" si="42">A68</f>
        <v>Turmeric</v>
      </c>
      <c r="B120" s="234">
        <f>B68-(B68*$G$6)</f>
        <v>0</v>
      </c>
      <c r="C120" s="234">
        <f t="shared" ref="C120:H120" si="43">C68-(C68*$G$6)</f>
        <v>0</v>
      </c>
      <c r="D120" s="234">
        <f t="shared" si="43"/>
        <v>0</v>
      </c>
      <c r="E120" s="234">
        <f t="shared" si="43"/>
        <v>0</v>
      </c>
      <c r="F120" s="234">
        <f t="shared" si="43"/>
        <v>0</v>
      </c>
      <c r="G120" s="234">
        <f t="shared" si="43"/>
        <v>0</v>
      </c>
      <c r="H120" s="234">
        <f t="shared" si="43"/>
        <v>0</v>
      </c>
    </row>
    <row r="121" spans="1:12" ht="15.75" customHeight="1" x14ac:dyDescent="0.25">
      <c r="A121" s="266" t="str">
        <f t="shared" si="42"/>
        <v>Red Gram/Tur</v>
      </c>
      <c r="B121" s="234">
        <f t="shared" ref="B121:H121" si="44">B69-(B69*$G$6)</f>
        <v>0</v>
      </c>
      <c r="C121" s="234">
        <f t="shared" si="44"/>
        <v>0</v>
      </c>
      <c r="D121" s="234">
        <f t="shared" si="44"/>
        <v>0</v>
      </c>
      <c r="E121" s="234">
        <f t="shared" si="44"/>
        <v>0</v>
      </c>
      <c r="F121" s="234">
        <f t="shared" si="44"/>
        <v>0</v>
      </c>
      <c r="G121" s="234">
        <f t="shared" si="44"/>
        <v>0</v>
      </c>
      <c r="H121" s="234">
        <f t="shared" si="44"/>
        <v>0</v>
      </c>
    </row>
    <row r="122" spans="1:12" ht="15.75" customHeight="1" x14ac:dyDescent="0.25">
      <c r="A122" s="266" t="str">
        <f t="shared" si="42"/>
        <v>Paddy/Rice</v>
      </c>
      <c r="B122" s="234">
        <f t="shared" ref="B122:H122" si="45">B70-(B70*$G$6)</f>
        <v>0</v>
      </c>
      <c r="C122" s="234">
        <f t="shared" si="45"/>
        <v>0</v>
      </c>
      <c r="D122" s="234">
        <f t="shared" si="45"/>
        <v>0</v>
      </c>
      <c r="E122" s="234">
        <f t="shared" si="45"/>
        <v>0</v>
      </c>
      <c r="F122" s="234">
        <f t="shared" si="45"/>
        <v>0</v>
      </c>
      <c r="G122" s="234">
        <f t="shared" si="45"/>
        <v>0</v>
      </c>
      <c r="H122" s="234">
        <f t="shared" si="45"/>
        <v>0</v>
      </c>
    </row>
    <row r="123" spans="1:12" ht="15.75" customHeight="1" x14ac:dyDescent="0.25">
      <c r="A123" s="266" t="str">
        <f t="shared" si="42"/>
        <v>Green Gram/ Moong</v>
      </c>
      <c r="B123" s="234">
        <f t="shared" ref="B123:H123" si="46">B71-(B71*$G$6)</f>
        <v>0</v>
      </c>
      <c r="C123" s="234">
        <f t="shared" si="46"/>
        <v>0</v>
      </c>
      <c r="D123" s="234">
        <f t="shared" si="46"/>
        <v>0</v>
      </c>
      <c r="E123" s="234">
        <f t="shared" si="46"/>
        <v>0</v>
      </c>
      <c r="F123" s="234">
        <f t="shared" si="46"/>
        <v>0</v>
      </c>
      <c r="G123" s="234">
        <f t="shared" si="46"/>
        <v>0</v>
      </c>
      <c r="H123" s="234">
        <f t="shared" si="46"/>
        <v>0</v>
      </c>
    </row>
    <row r="124" spans="1:12" ht="15.75" customHeight="1" x14ac:dyDescent="0.25">
      <c r="A124" s="266" t="str">
        <f t="shared" si="42"/>
        <v>Maize</v>
      </c>
      <c r="B124" s="234">
        <f t="shared" ref="B124:H124" si="47">B72-(B72*$G$6)</f>
        <v>0</v>
      </c>
      <c r="C124" s="234">
        <f t="shared" si="47"/>
        <v>0</v>
      </c>
      <c r="D124" s="234">
        <f t="shared" si="47"/>
        <v>0</v>
      </c>
      <c r="E124" s="234">
        <f t="shared" si="47"/>
        <v>0</v>
      </c>
      <c r="F124" s="234">
        <f t="shared" si="47"/>
        <v>0</v>
      </c>
      <c r="G124" s="234">
        <f t="shared" si="47"/>
        <v>0</v>
      </c>
      <c r="H124" s="234">
        <f t="shared" si="47"/>
        <v>0</v>
      </c>
    </row>
    <row r="125" spans="1:12" ht="15.75" customHeight="1" x14ac:dyDescent="0.25">
      <c r="A125" s="266" t="str">
        <f t="shared" si="42"/>
        <v>Black Gram/Udid</v>
      </c>
      <c r="B125" s="234">
        <f t="shared" ref="B125:H125" si="48">B73-(B73*$G$6)</f>
        <v>0</v>
      </c>
      <c r="C125" s="234">
        <f t="shared" si="48"/>
        <v>0</v>
      </c>
      <c r="D125" s="234">
        <f t="shared" si="48"/>
        <v>0</v>
      </c>
      <c r="E125" s="234">
        <f t="shared" si="48"/>
        <v>0</v>
      </c>
      <c r="F125" s="234">
        <f t="shared" si="48"/>
        <v>0</v>
      </c>
      <c r="G125" s="234">
        <f t="shared" si="48"/>
        <v>0</v>
      </c>
      <c r="H125" s="234">
        <f t="shared" si="48"/>
        <v>0</v>
      </c>
    </row>
    <row r="126" spans="1:12" ht="15.75" customHeight="1" x14ac:dyDescent="0.25">
      <c r="A126" s="266" t="str">
        <f t="shared" si="42"/>
        <v>Bajra</v>
      </c>
      <c r="B126" s="234">
        <f t="shared" ref="B126:H126" si="49">B74-(B74*$G$6)</f>
        <v>0</v>
      </c>
      <c r="C126" s="234">
        <f t="shared" si="49"/>
        <v>0</v>
      </c>
      <c r="D126" s="234">
        <f t="shared" si="49"/>
        <v>0</v>
      </c>
      <c r="E126" s="234">
        <f t="shared" si="49"/>
        <v>0</v>
      </c>
      <c r="F126" s="234">
        <f t="shared" si="49"/>
        <v>0</v>
      </c>
      <c r="G126" s="234">
        <f t="shared" si="49"/>
        <v>0</v>
      </c>
      <c r="H126" s="234">
        <f t="shared" si="49"/>
        <v>0</v>
      </c>
    </row>
    <row r="127" spans="1:12" ht="15.75" customHeight="1" x14ac:dyDescent="0.25">
      <c r="A127" s="266" t="str">
        <f t="shared" si="42"/>
        <v>Jawar</v>
      </c>
      <c r="B127" s="234">
        <f t="shared" ref="B127:H127" si="50">B75-(B75*$G$6)</f>
        <v>0</v>
      </c>
      <c r="C127" s="234">
        <f t="shared" si="50"/>
        <v>0</v>
      </c>
      <c r="D127" s="234">
        <f t="shared" si="50"/>
        <v>0</v>
      </c>
      <c r="E127" s="234">
        <f t="shared" si="50"/>
        <v>0</v>
      </c>
      <c r="F127" s="234">
        <f t="shared" si="50"/>
        <v>0</v>
      </c>
      <c r="G127" s="234">
        <f t="shared" si="50"/>
        <v>0</v>
      </c>
      <c r="H127" s="234">
        <f t="shared" si="50"/>
        <v>0</v>
      </c>
    </row>
    <row r="128" spans="1:12" ht="15.75" customHeight="1" x14ac:dyDescent="0.25">
      <c r="A128" s="266" t="str">
        <f t="shared" si="42"/>
        <v>Sunflower</v>
      </c>
      <c r="B128" s="234">
        <f t="shared" ref="B128:H128" si="51">B76-(B76*$G$6)</f>
        <v>0</v>
      </c>
      <c r="C128" s="234">
        <f t="shared" si="51"/>
        <v>0</v>
      </c>
      <c r="D128" s="234">
        <f t="shared" si="51"/>
        <v>0</v>
      </c>
      <c r="E128" s="234">
        <f t="shared" si="51"/>
        <v>0</v>
      </c>
      <c r="F128" s="234">
        <f t="shared" si="51"/>
        <v>0</v>
      </c>
      <c r="G128" s="234">
        <f t="shared" si="51"/>
        <v>0</v>
      </c>
      <c r="H128" s="234">
        <f t="shared" si="51"/>
        <v>0</v>
      </c>
    </row>
    <row r="129" spans="1:8" ht="15.75" customHeight="1" x14ac:dyDescent="0.25">
      <c r="A129" s="266" t="str">
        <f t="shared" si="42"/>
        <v>Wheat</v>
      </c>
      <c r="B129" s="234">
        <f t="shared" ref="B129:H129" si="52">B77-(B77*$G$6)</f>
        <v>0</v>
      </c>
      <c r="C129" s="234">
        <f t="shared" si="52"/>
        <v>0</v>
      </c>
      <c r="D129" s="234">
        <f t="shared" si="52"/>
        <v>0</v>
      </c>
      <c r="E129" s="234">
        <f t="shared" si="52"/>
        <v>0</v>
      </c>
      <c r="F129" s="234">
        <f t="shared" si="52"/>
        <v>0</v>
      </c>
      <c r="G129" s="234">
        <f t="shared" si="52"/>
        <v>0</v>
      </c>
      <c r="H129" s="234">
        <f t="shared" si="52"/>
        <v>0</v>
      </c>
    </row>
    <row r="130" spans="1:8" ht="15.75" customHeight="1" x14ac:dyDescent="0.25">
      <c r="A130" s="266" t="str">
        <f t="shared" si="42"/>
        <v>Bengal Gram/Channa</v>
      </c>
      <c r="B130" s="234">
        <f t="shared" ref="B130:H130" si="53">B78-(B78*$G$6)</f>
        <v>0</v>
      </c>
      <c r="C130" s="234">
        <f t="shared" si="53"/>
        <v>0</v>
      </c>
      <c r="D130" s="234">
        <f t="shared" si="53"/>
        <v>0</v>
      </c>
      <c r="E130" s="234">
        <f t="shared" si="53"/>
        <v>0</v>
      </c>
      <c r="F130" s="234">
        <f t="shared" si="53"/>
        <v>0</v>
      </c>
      <c r="G130" s="234">
        <f t="shared" si="53"/>
        <v>0</v>
      </c>
      <c r="H130" s="234">
        <f t="shared" si="53"/>
        <v>0</v>
      </c>
    </row>
    <row r="131" spans="1:8" ht="15.75" customHeight="1" x14ac:dyDescent="0.25">
      <c r="A131" s="266" t="str">
        <f t="shared" si="42"/>
        <v>Jawar</v>
      </c>
      <c r="B131" s="234">
        <f t="shared" ref="B131:H131" si="54">B79-(B79*$G$6)</f>
        <v>0</v>
      </c>
      <c r="C131" s="234">
        <f t="shared" si="54"/>
        <v>0</v>
      </c>
      <c r="D131" s="234">
        <f t="shared" si="54"/>
        <v>0</v>
      </c>
      <c r="E131" s="234">
        <f t="shared" si="54"/>
        <v>0</v>
      </c>
      <c r="F131" s="234">
        <f t="shared" si="54"/>
        <v>0</v>
      </c>
      <c r="G131" s="234">
        <f t="shared" si="54"/>
        <v>0</v>
      </c>
      <c r="H131" s="234">
        <f t="shared" si="54"/>
        <v>0</v>
      </c>
    </row>
    <row r="132" spans="1:8" ht="15.75" customHeight="1" x14ac:dyDescent="0.25">
      <c r="A132" s="266" t="str">
        <f t="shared" si="42"/>
        <v>Maize</v>
      </c>
      <c r="B132" s="234">
        <f t="shared" ref="B132:H132" si="55">B80-(B80*$G$6)</f>
        <v>0</v>
      </c>
      <c r="C132" s="234">
        <f t="shared" si="55"/>
        <v>0</v>
      </c>
      <c r="D132" s="234">
        <f t="shared" si="55"/>
        <v>0</v>
      </c>
      <c r="E132" s="234">
        <f t="shared" si="55"/>
        <v>0</v>
      </c>
      <c r="F132" s="234">
        <f t="shared" si="55"/>
        <v>0</v>
      </c>
      <c r="G132" s="234">
        <f t="shared" si="55"/>
        <v>0</v>
      </c>
      <c r="H132" s="234">
        <f t="shared" si="55"/>
        <v>0</v>
      </c>
    </row>
    <row r="133" spans="1:8" ht="15.75" customHeight="1" x14ac:dyDescent="0.25">
      <c r="A133" s="266" t="str">
        <f t="shared" si="42"/>
        <v>Safflower</v>
      </c>
      <c r="B133" s="234">
        <f t="shared" ref="B133:H133" si="56">B81-(B81*$G$6)</f>
        <v>0</v>
      </c>
      <c r="C133" s="234">
        <f t="shared" si="56"/>
        <v>0</v>
      </c>
      <c r="D133" s="234">
        <f t="shared" si="56"/>
        <v>0</v>
      </c>
      <c r="E133" s="234">
        <f t="shared" si="56"/>
        <v>0</v>
      </c>
      <c r="F133" s="234">
        <f t="shared" si="56"/>
        <v>0</v>
      </c>
      <c r="G133" s="234">
        <f t="shared" si="56"/>
        <v>0</v>
      </c>
      <c r="H133" s="234">
        <f t="shared" si="56"/>
        <v>0</v>
      </c>
    </row>
    <row r="134" spans="1:8" ht="15.75" customHeight="1" x14ac:dyDescent="0.25">
      <c r="A134" s="266">
        <f t="shared" si="42"/>
        <v>0</v>
      </c>
      <c r="B134" s="234">
        <f t="shared" ref="B134:H134" si="57">B82-(B82*$G$6)</f>
        <v>0</v>
      </c>
      <c r="C134" s="234">
        <f t="shared" si="57"/>
        <v>0</v>
      </c>
      <c r="D134" s="234">
        <f t="shared" si="57"/>
        <v>0</v>
      </c>
      <c r="E134" s="234">
        <f t="shared" si="57"/>
        <v>0</v>
      </c>
      <c r="F134" s="234">
        <f t="shared" si="57"/>
        <v>0</v>
      </c>
      <c r="G134" s="234">
        <f t="shared" si="57"/>
        <v>0</v>
      </c>
      <c r="H134" s="234">
        <f t="shared" si="57"/>
        <v>0</v>
      </c>
    </row>
    <row r="135" spans="1:8" ht="15.75" customHeight="1" x14ac:dyDescent="0.25">
      <c r="A135" s="266">
        <f t="shared" si="42"/>
        <v>0</v>
      </c>
      <c r="B135" s="234">
        <f t="shared" ref="B135:H135" si="58">B83-(B83*$G$6)</f>
        <v>0</v>
      </c>
      <c r="C135" s="234">
        <f t="shared" si="58"/>
        <v>0</v>
      </c>
      <c r="D135" s="234">
        <f t="shared" si="58"/>
        <v>0</v>
      </c>
      <c r="E135" s="234">
        <f t="shared" si="58"/>
        <v>0</v>
      </c>
      <c r="F135" s="234">
        <f t="shared" si="58"/>
        <v>0</v>
      </c>
      <c r="G135" s="234">
        <f t="shared" si="58"/>
        <v>0</v>
      </c>
      <c r="H135" s="234">
        <f t="shared" si="58"/>
        <v>0</v>
      </c>
    </row>
    <row r="136" spans="1:8" ht="15.75" customHeight="1" x14ac:dyDescent="0.25">
      <c r="A136" s="266">
        <f t="shared" si="42"/>
        <v>0</v>
      </c>
      <c r="B136" s="234">
        <f t="shared" ref="B136:H136" si="59">B84-(B84*$G$6)</f>
        <v>0</v>
      </c>
      <c r="C136" s="234">
        <f t="shared" si="59"/>
        <v>0</v>
      </c>
      <c r="D136" s="234">
        <f t="shared" si="59"/>
        <v>0</v>
      </c>
      <c r="E136" s="234">
        <f t="shared" si="59"/>
        <v>0</v>
      </c>
      <c r="F136" s="234">
        <f t="shared" si="59"/>
        <v>0</v>
      </c>
      <c r="G136" s="234">
        <f t="shared" si="59"/>
        <v>0</v>
      </c>
      <c r="H136" s="234">
        <f t="shared" si="59"/>
        <v>0</v>
      </c>
    </row>
    <row r="137" spans="1:8" ht="15.75" customHeight="1" x14ac:dyDescent="0.25">
      <c r="A137" s="266" t="str">
        <f t="shared" si="42"/>
        <v>Turmeric</v>
      </c>
      <c r="B137" s="234">
        <f t="shared" ref="B137:H137" si="60">B85-(B85*$G$6)</f>
        <v>475.3</v>
      </c>
      <c r="C137" s="234">
        <f t="shared" si="60"/>
        <v>594.125</v>
      </c>
      <c r="D137" s="234">
        <f t="shared" si="60"/>
        <v>712.95</v>
      </c>
      <c r="E137" s="234">
        <f t="shared" si="60"/>
        <v>831.77499999999998</v>
      </c>
      <c r="F137" s="234">
        <f t="shared" si="60"/>
        <v>950.59999999999991</v>
      </c>
      <c r="G137" s="234">
        <f t="shared" si="60"/>
        <v>1069.425</v>
      </c>
      <c r="H137" s="234">
        <f t="shared" si="60"/>
        <v>1188.25</v>
      </c>
    </row>
    <row r="138" spans="1:8" ht="15.75" customHeight="1" x14ac:dyDescent="0.25">
      <c r="A138" s="266">
        <f t="shared" si="42"/>
        <v>0</v>
      </c>
      <c r="B138" s="234">
        <f t="shared" ref="B138:H138" si="61">B86-(B86*$G$6)</f>
        <v>0</v>
      </c>
      <c r="C138" s="234">
        <f t="shared" si="61"/>
        <v>0</v>
      </c>
      <c r="D138" s="234">
        <f t="shared" si="61"/>
        <v>0</v>
      </c>
      <c r="E138" s="234">
        <f t="shared" si="61"/>
        <v>0</v>
      </c>
      <c r="F138" s="234">
        <f t="shared" si="61"/>
        <v>0</v>
      </c>
      <c r="G138" s="234">
        <f t="shared" si="61"/>
        <v>0</v>
      </c>
      <c r="H138" s="234">
        <f t="shared" si="61"/>
        <v>0</v>
      </c>
    </row>
    <row r="139" spans="1:8" ht="15.75" customHeight="1" x14ac:dyDescent="0.25">
      <c r="A139" s="266">
        <f t="shared" si="42"/>
        <v>0</v>
      </c>
      <c r="B139" s="234">
        <f t="shared" ref="B139:H139" si="62">B87-(B87*$G$6)</f>
        <v>0</v>
      </c>
      <c r="C139" s="234">
        <f t="shared" si="62"/>
        <v>0</v>
      </c>
      <c r="D139" s="234">
        <f t="shared" si="62"/>
        <v>0</v>
      </c>
      <c r="E139" s="234">
        <f t="shared" si="62"/>
        <v>0</v>
      </c>
      <c r="F139" s="234">
        <f t="shared" si="62"/>
        <v>0</v>
      </c>
      <c r="G139" s="234">
        <f t="shared" si="62"/>
        <v>0</v>
      </c>
      <c r="H139" s="234">
        <f t="shared" si="62"/>
        <v>0</v>
      </c>
    </row>
    <row r="140" spans="1:8" ht="15.75" customHeight="1" x14ac:dyDescent="0.25">
      <c r="A140" s="266">
        <f t="shared" si="42"/>
        <v>0</v>
      </c>
      <c r="B140" s="234">
        <f t="shared" ref="B140:H140" si="63">B88-(B88*$G$6)</f>
        <v>0</v>
      </c>
      <c r="C140" s="234">
        <f t="shared" si="63"/>
        <v>0</v>
      </c>
      <c r="D140" s="234">
        <f t="shared" si="63"/>
        <v>0</v>
      </c>
      <c r="E140" s="234">
        <f t="shared" si="63"/>
        <v>0</v>
      </c>
      <c r="F140" s="234">
        <f t="shared" si="63"/>
        <v>0</v>
      </c>
      <c r="G140" s="234">
        <f t="shared" si="63"/>
        <v>0</v>
      </c>
      <c r="H140" s="234">
        <f t="shared" si="63"/>
        <v>0</v>
      </c>
    </row>
    <row r="141" spans="1:8" ht="15.75" customHeight="1" x14ac:dyDescent="0.25">
      <c r="A141" s="266">
        <f t="shared" si="42"/>
        <v>0</v>
      </c>
      <c r="B141" s="234">
        <f t="shared" ref="B141:H141" si="64">B89-(B89*$G$6)</f>
        <v>0</v>
      </c>
      <c r="C141" s="234">
        <f t="shared" si="64"/>
        <v>0</v>
      </c>
      <c r="D141" s="234">
        <f t="shared" si="64"/>
        <v>0</v>
      </c>
      <c r="E141" s="234">
        <f t="shared" si="64"/>
        <v>0</v>
      </c>
      <c r="F141" s="234">
        <f t="shared" si="64"/>
        <v>0</v>
      </c>
      <c r="G141" s="234">
        <f t="shared" si="64"/>
        <v>0</v>
      </c>
      <c r="H141" s="234">
        <f t="shared" si="64"/>
        <v>0</v>
      </c>
    </row>
    <row r="142" spans="1:8" ht="15.75" customHeight="1" x14ac:dyDescent="0.25">
      <c r="A142" s="74"/>
      <c r="B142" s="234"/>
      <c r="C142" s="234"/>
      <c r="D142" s="234"/>
      <c r="E142" s="234"/>
      <c r="F142" s="234"/>
      <c r="G142" s="234"/>
      <c r="H142" s="234"/>
    </row>
    <row r="143" spans="1:8" ht="15.75" customHeight="1" x14ac:dyDescent="0.25">
      <c r="A143" s="262" t="str">
        <f t="shared" ref="A143:A168" si="65">A91</f>
        <v>Fruit  &amp; Vegetables Crop Production Details</v>
      </c>
      <c r="B143" s="234"/>
      <c r="C143" s="234"/>
      <c r="D143" s="234"/>
      <c r="E143" s="234"/>
      <c r="F143" s="234"/>
      <c r="G143" s="234"/>
      <c r="H143" s="234"/>
    </row>
    <row r="144" spans="1:8" ht="15.75" customHeight="1" x14ac:dyDescent="0.25">
      <c r="A144" s="266" t="str">
        <f t="shared" si="65"/>
        <v>Onion</v>
      </c>
      <c r="B144" s="234">
        <f t="shared" ref="B144:H144" si="66">B92-(B92*$G$7)</f>
        <v>0</v>
      </c>
      <c r="C144" s="234">
        <f t="shared" si="66"/>
        <v>0</v>
      </c>
      <c r="D144" s="234">
        <f t="shared" si="66"/>
        <v>0</v>
      </c>
      <c r="E144" s="234">
        <f t="shared" si="66"/>
        <v>0</v>
      </c>
      <c r="F144" s="234">
        <f t="shared" si="66"/>
        <v>0</v>
      </c>
      <c r="G144" s="234">
        <f t="shared" si="66"/>
        <v>0</v>
      </c>
      <c r="H144" s="234">
        <f t="shared" si="66"/>
        <v>0</v>
      </c>
    </row>
    <row r="145" spans="1:8" ht="15.75" customHeight="1" x14ac:dyDescent="0.25">
      <c r="A145" s="266" t="str">
        <f t="shared" si="65"/>
        <v>Tomato</v>
      </c>
      <c r="B145" s="234">
        <f t="shared" ref="B145:H145" si="67">B93-(B93*$G$7)</f>
        <v>0</v>
      </c>
      <c r="C145" s="234">
        <f t="shared" si="67"/>
        <v>0</v>
      </c>
      <c r="D145" s="234">
        <f t="shared" si="67"/>
        <v>0</v>
      </c>
      <c r="E145" s="234">
        <f t="shared" si="67"/>
        <v>0</v>
      </c>
      <c r="F145" s="234">
        <f t="shared" si="67"/>
        <v>0</v>
      </c>
      <c r="G145" s="234">
        <f t="shared" si="67"/>
        <v>0</v>
      </c>
      <c r="H145" s="234">
        <f t="shared" si="67"/>
        <v>0</v>
      </c>
    </row>
    <row r="146" spans="1:8" ht="15.75" customHeight="1" x14ac:dyDescent="0.25">
      <c r="A146" s="266" t="str">
        <f t="shared" si="65"/>
        <v>Okra</v>
      </c>
      <c r="B146" s="234">
        <f t="shared" ref="B146:H146" si="68">B94-(B94*$G$7)</f>
        <v>0</v>
      </c>
      <c r="C146" s="234">
        <f t="shared" si="68"/>
        <v>0</v>
      </c>
      <c r="D146" s="234">
        <f t="shared" si="68"/>
        <v>0</v>
      </c>
      <c r="E146" s="234">
        <f t="shared" si="68"/>
        <v>0</v>
      </c>
      <c r="F146" s="234">
        <f t="shared" si="68"/>
        <v>0</v>
      </c>
      <c r="G146" s="234">
        <f t="shared" si="68"/>
        <v>0</v>
      </c>
      <c r="H146" s="234">
        <f t="shared" si="68"/>
        <v>0</v>
      </c>
    </row>
    <row r="147" spans="1:8" ht="15.75" customHeight="1" x14ac:dyDescent="0.25">
      <c r="A147" s="266" t="str">
        <f t="shared" si="65"/>
        <v>Chilli</v>
      </c>
      <c r="B147" s="234">
        <f t="shared" ref="B147:H147" si="69">B95-(B95*$G$7)</f>
        <v>0</v>
      </c>
      <c r="C147" s="234">
        <f t="shared" si="69"/>
        <v>0</v>
      </c>
      <c r="D147" s="234">
        <f t="shared" si="69"/>
        <v>0</v>
      </c>
      <c r="E147" s="234">
        <f t="shared" si="69"/>
        <v>0</v>
      </c>
      <c r="F147" s="234">
        <f t="shared" si="69"/>
        <v>0</v>
      </c>
      <c r="G147" s="234">
        <f t="shared" si="69"/>
        <v>0</v>
      </c>
      <c r="H147" s="234">
        <f t="shared" si="69"/>
        <v>0</v>
      </c>
    </row>
    <row r="148" spans="1:8" ht="15.75" customHeight="1" x14ac:dyDescent="0.25">
      <c r="A148" s="266" t="str">
        <f t="shared" si="65"/>
        <v>Potato</v>
      </c>
      <c r="B148" s="234">
        <f t="shared" ref="B148:H148" si="70">B96-(B96*$G$7)</f>
        <v>0</v>
      </c>
      <c r="C148" s="234">
        <f t="shared" si="70"/>
        <v>0</v>
      </c>
      <c r="D148" s="234">
        <f t="shared" si="70"/>
        <v>0</v>
      </c>
      <c r="E148" s="234">
        <f t="shared" si="70"/>
        <v>0</v>
      </c>
      <c r="F148" s="234">
        <f t="shared" si="70"/>
        <v>0</v>
      </c>
      <c r="G148" s="234">
        <f t="shared" si="70"/>
        <v>0</v>
      </c>
      <c r="H148" s="234">
        <f t="shared" si="70"/>
        <v>0</v>
      </c>
    </row>
    <row r="149" spans="1:8" ht="15.75" customHeight="1" x14ac:dyDescent="0.25">
      <c r="A149" s="266">
        <f t="shared" si="65"/>
        <v>0</v>
      </c>
      <c r="B149" s="234">
        <f t="shared" ref="B149:H149" si="71">B97-(B97*$G$7)</f>
        <v>0</v>
      </c>
      <c r="C149" s="234">
        <f t="shared" si="71"/>
        <v>0</v>
      </c>
      <c r="D149" s="234">
        <f t="shared" si="71"/>
        <v>0</v>
      </c>
      <c r="E149" s="234">
        <f t="shared" si="71"/>
        <v>0</v>
      </c>
      <c r="F149" s="234">
        <f t="shared" si="71"/>
        <v>0</v>
      </c>
      <c r="G149" s="234">
        <f t="shared" si="71"/>
        <v>0</v>
      </c>
      <c r="H149" s="234">
        <f t="shared" si="71"/>
        <v>0</v>
      </c>
    </row>
    <row r="150" spans="1:8" ht="15.75" customHeight="1" x14ac:dyDescent="0.25">
      <c r="A150" s="266">
        <f t="shared" si="65"/>
        <v>0</v>
      </c>
      <c r="B150" s="234">
        <f t="shared" ref="B150:H150" si="72">B98-(B98*$G$7)</f>
        <v>0</v>
      </c>
      <c r="C150" s="234">
        <f t="shared" si="72"/>
        <v>0</v>
      </c>
      <c r="D150" s="234">
        <f t="shared" si="72"/>
        <v>0</v>
      </c>
      <c r="E150" s="234">
        <f t="shared" si="72"/>
        <v>0</v>
      </c>
      <c r="F150" s="234">
        <f t="shared" si="72"/>
        <v>0</v>
      </c>
      <c r="G150" s="234">
        <f t="shared" si="72"/>
        <v>0</v>
      </c>
      <c r="H150" s="234">
        <f t="shared" si="72"/>
        <v>0</v>
      </c>
    </row>
    <row r="151" spans="1:8" ht="15.75" customHeight="1" x14ac:dyDescent="0.25">
      <c r="A151" s="266">
        <f t="shared" si="65"/>
        <v>0</v>
      </c>
      <c r="B151" s="234">
        <f t="shared" ref="B151:H151" si="73">B99-(B99*$G$7)</f>
        <v>0</v>
      </c>
      <c r="C151" s="234">
        <f t="shared" si="73"/>
        <v>0</v>
      </c>
      <c r="D151" s="234">
        <f t="shared" si="73"/>
        <v>0</v>
      </c>
      <c r="E151" s="234">
        <f t="shared" si="73"/>
        <v>0</v>
      </c>
      <c r="F151" s="234">
        <f t="shared" si="73"/>
        <v>0</v>
      </c>
      <c r="G151" s="234">
        <f t="shared" si="73"/>
        <v>0</v>
      </c>
      <c r="H151" s="234">
        <f t="shared" si="73"/>
        <v>0</v>
      </c>
    </row>
    <row r="152" spans="1:8" ht="15.75" customHeight="1" x14ac:dyDescent="0.25">
      <c r="A152" s="266">
        <f t="shared" si="65"/>
        <v>0</v>
      </c>
      <c r="B152" s="234">
        <f t="shared" ref="B152:H152" si="74">B100-(B100*$G$7)</f>
        <v>0</v>
      </c>
      <c r="C152" s="234">
        <f t="shared" si="74"/>
        <v>0</v>
      </c>
      <c r="D152" s="234">
        <f t="shared" si="74"/>
        <v>0</v>
      </c>
      <c r="E152" s="234">
        <f t="shared" si="74"/>
        <v>0</v>
      </c>
      <c r="F152" s="234">
        <f t="shared" si="74"/>
        <v>0</v>
      </c>
      <c r="G152" s="234">
        <f t="shared" si="74"/>
        <v>0</v>
      </c>
      <c r="H152" s="234">
        <f t="shared" si="74"/>
        <v>0</v>
      </c>
    </row>
    <row r="153" spans="1:8" ht="15.75" customHeight="1" x14ac:dyDescent="0.25">
      <c r="A153" s="266" t="str">
        <f t="shared" si="65"/>
        <v>Onion</v>
      </c>
      <c r="B153" s="234">
        <f t="shared" ref="B153:H153" si="75">B101-(B101*$G$7)</f>
        <v>0</v>
      </c>
      <c r="C153" s="234">
        <f t="shared" si="75"/>
        <v>0</v>
      </c>
      <c r="D153" s="234">
        <f t="shared" si="75"/>
        <v>0</v>
      </c>
      <c r="E153" s="234">
        <f t="shared" si="75"/>
        <v>0</v>
      </c>
      <c r="F153" s="234">
        <f t="shared" si="75"/>
        <v>0</v>
      </c>
      <c r="G153" s="234">
        <f t="shared" si="75"/>
        <v>0</v>
      </c>
      <c r="H153" s="234">
        <f t="shared" si="75"/>
        <v>0</v>
      </c>
    </row>
    <row r="154" spans="1:8" ht="15.75" customHeight="1" x14ac:dyDescent="0.25">
      <c r="A154" s="266" t="str">
        <f t="shared" si="65"/>
        <v>Tomato</v>
      </c>
      <c r="B154" s="234">
        <f t="shared" ref="B154:H154" si="76">B102-(B102*$G$7)</f>
        <v>0</v>
      </c>
      <c r="C154" s="234">
        <f t="shared" si="76"/>
        <v>0</v>
      </c>
      <c r="D154" s="234">
        <f t="shared" si="76"/>
        <v>0</v>
      </c>
      <c r="E154" s="234">
        <f t="shared" si="76"/>
        <v>0</v>
      </c>
      <c r="F154" s="234">
        <f t="shared" si="76"/>
        <v>0</v>
      </c>
      <c r="G154" s="234">
        <f t="shared" si="76"/>
        <v>0</v>
      </c>
      <c r="H154" s="234">
        <f t="shared" si="76"/>
        <v>0</v>
      </c>
    </row>
    <row r="155" spans="1:8" ht="15.75" customHeight="1" x14ac:dyDescent="0.25">
      <c r="A155" s="266" t="str">
        <f t="shared" si="65"/>
        <v>Okra</v>
      </c>
      <c r="B155" s="234">
        <f t="shared" ref="B155:H155" si="77">B103-(B103*$G$7)</f>
        <v>0</v>
      </c>
      <c r="C155" s="234">
        <f t="shared" si="77"/>
        <v>0</v>
      </c>
      <c r="D155" s="234">
        <f t="shared" si="77"/>
        <v>0</v>
      </c>
      <c r="E155" s="234">
        <f t="shared" si="77"/>
        <v>0</v>
      </c>
      <c r="F155" s="234">
        <f t="shared" si="77"/>
        <v>0</v>
      </c>
      <c r="G155" s="234">
        <f t="shared" si="77"/>
        <v>0</v>
      </c>
      <c r="H155" s="234">
        <f t="shared" si="77"/>
        <v>0</v>
      </c>
    </row>
    <row r="156" spans="1:8" ht="15.75" customHeight="1" x14ac:dyDescent="0.25">
      <c r="A156" s="266" t="str">
        <f t="shared" si="65"/>
        <v>Chilli</v>
      </c>
      <c r="B156" s="234">
        <f t="shared" ref="B156:H156" si="78">B104-(B104*$G$7)</f>
        <v>0</v>
      </c>
      <c r="C156" s="234">
        <f t="shared" si="78"/>
        <v>0</v>
      </c>
      <c r="D156" s="234">
        <f t="shared" si="78"/>
        <v>0</v>
      </c>
      <c r="E156" s="234">
        <f t="shared" si="78"/>
        <v>0</v>
      </c>
      <c r="F156" s="234">
        <f t="shared" si="78"/>
        <v>0</v>
      </c>
      <c r="G156" s="234">
        <f t="shared" si="78"/>
        <v>0</v>
      </c>
      <c r="H156" s="234">
        <f t="shared" si="78"/>
        <v>0</v>
      </c>
    </row>
    <row r="157" spans="1:8" ht="15.75" customHeight="1" x14ac:dyDescent="0.25">
      <c r="A157" s="266" t="str">
        <f t="shared" si="65"/>
        <v>Brinjal</v>
      </c>
      <c r="B157" s="234">
        <f t="shared" ref="B157:H157" si="79">B105-(B105*$G$7)</f>
        <v>0</v>
      </c>
      <c r="C157" s="234">
        <f t="shared" si="79"/>
        <v>0</v>
      </c>
      <c r="D157" s="234">
        <f t="shared" si="79"/>
        <v>0</v>
      </c>
      <c r="E157" s="234">
        <f t="shared" si="79"/>
        <v>0</v>
      </c>
      <c r="F157" s="234">
        <f t="shared" si="79"/>
        <v>0</v>
      </c>
      <c r="G157" s="234">
        <f t="shared" si="79"/>
        <v>0</v>
      </c>
      <c r="H157" s="234">
        <f t="shared" si="79"/>
        <v>0</v>
      </c>
    </row>
    <row r="158" spans="1:8" ht="15.75" customHeight="1" x14ac:dyDescent="0.25">
      <c r="A158" s="266">
        <f t="shared" si="65"/>
        <v>0</v>
      </c>
      <c r="B158" s="234">
        <f t="shared" ref="B158:H158" si="80">B106-(B106*$G$7)</f>
        <v>0</v>
      </c>
      <c r="C158" s="234">
        <f t="shared" si="80"/>
        <v>0</v>
      </c>
      <c r="D158" s="234">
        <f t="shared" si="80"/>
        <v>0</v>
      </c>
      <c r="E158" s="234">
        <f t="shared" si="80"/>
        <v>0</v>
      </c>
      <c r="F158" s="234">
        <f t="shared" si="80"/>
        <v>0</v>
      </c>
      <c r="G158" s="234">
        <f t="shared" si="80"/>
        <v>0</v>
      </c>
      <c r="H158" s="234">
        <f t="shared" si="80"/>
        <v>0</v>
      </c>
    </row>
    <row r="159" spans="1:8" ht="15.75" customHeight="1" x14ac:dyDescent="0.25">
      <c r="A159" s="266">
        <f t="shared" si="65"/>
        <v>0</v>
      </c>
      <c r="B159" s="234">
        <f t="shared" ref="B159:H159" si="81">B107-(B107*$G$7)</f>
        <v>0</v>
      </c>
      <c r="C159" s="234">
        <f t="shared" si="81"/>
        <v>0</v>
      </c>
      <c r="D159" s="234">
        <f t="shared" si="81"/>
        <v>0</v>
      </c>
      <c r="E159" s="234">
        <f t="shared" si="81"/>
        <v>0</v>
      </c>
      <c r="F159" s="234">
        <f t="shared" si="81"/>
        <v>0</v>
      </c>
      <c r="G159" s="234">
        <f t="shared" si="81"/>
        <v>0</v>
      </c>
      <c r="H159" s="234">
        <f t="shared" si="81"/>
        <v>0</v>
      </c>
    </row>
    <row r="160" spans="1:8" ht="15.75" customHeight="1" x14ac:dyDescent="0.25">
      <c r="A160" s="266">
        <f t="shared" si="65"/>
        <v>0</v>
      </c>
      <c r="B160" s="234">
        <f t="shared" ref="B160:H160" si="82">B108-(B108*$G$7)</f>
        <v>0</v>
      </c>
      <c r="C160" s="234">
        <f t="shared" si="82"/>
        <v>0</v>
      </c>
      <c r="D160" s="234">
        <f t="shared" si="82"/>
        <v>0</v>
      </c>
      <c r="E160" s="234">
        <f t="shared" si="82"/>
        <v>0</v>
      </c>
      <c r="F160" s="234">
        <f t="shared" si="82"/>
        <v>0</v>
      </c>
      <c r="G160" s="234">
        <f t="shared" si="82"/>
        <v>0</v>
      </c>
      <c r="H160" s="234">
        <f t="shared" si="82"/>
        <v>0</v>
      </c>
    </row>
    <row r="161" spans="1:20" ht="15.75" customHeight="1" x14ac:dyDescent="0.25">
      <c r="A161" s="266">
        <f t="shared" si="65"/>
        <v>0</v>
      </c>
      <c r="B161" s="234">
        <f t="shared" ref="B161:H161" si="83">B109-(B109*$G$7)</f>
        <v>0</v>
      </c>
      <c r="C161" s="234">
        <f t="shared" si="83"/>
        <v>0</v>
      </c>
      <c r="D161" s="234">
        <f t="shared" si="83"/>
        <v>0</v>
      </c>
      <c r="E161" s="234">
        <f t="shared" si="83"/>
        <v>0</v>
      </c>
      <c r="F161" s="234">
        <f t="shared" si="83"/>
        <v>0</v>
      </c>
      <c r="G161" s="234">
        <f t="shared" si="83"/>
        <v>0</v>
      </c>
      <c r="H161" s="234">
        <f t="shared" si="83"/>
        <v>0</v>
      </c>
    </row>
    <row r="162" spans="1:20" ht="15.75" customHeight="1" x14ac:dyDescent="0.25">
      <c r="A162" s="266">
        <f t="shared" si="65"/>
        <v>0</v>
      </c>
      <c r="B162" s="234">
        <f t="shared" ref="B162:H162" si="84">B110-(B110*$G$7)</f>
        <v>0</v>
      </c>
      <c r="C162" s="234">
        <f t="shared" si="84"/>
        <v>0</v>
      </c>
      <c r="D162" s="234">
        <f t="shared" si="84"/>
        <v>0</v>
      </c>
      <c r="E162" s="234">
        <f t="shared" si="84"/>
        <v>0</v>
      </c>
      <c r="F162" s="234">
        <f t="shared" si="84"/>
        <v>0</v>
      </c>
      <c r="G162" s="234">
        <f t="shared" si="84"/>
        <v>0</v>
      </c>
      <c r="H162" s="234">
        <f t="shared" si="84"/>
        <v>0</v>
      </c>
    </row>
    <row r="163" spans="1:20" ht="15.75" customHeight="1" x14ac:dyDescent="0.25">
      <c r="A163" s="266">
        <f t="shared" si="65"/>
        <v>0</v>
      </c>
      <c r="B163" s="234">
        <f t="shared" ref="B163:H163" si="85">B111-(B111*$G$7)</f>
        <v>0</v>
      </c>
      <c r="C163" s="234">
        <f t="shared" si="85"/>
        <v>0</v>
      </c>
      <c r="D163" s="234">
        <f t="shared" si="85"/>
        <v>0</v>
      </c>
      <c r="E163" s="234">
        <f t="shared" si="85"/>
        <v>0</v>
      </c>
      <c r="F163" s="234">
        <f t="shared" si="85"/>
        <v>0</v>
      </c>
      <c r="G163" s="234">
        <f t="shared" si="85"/>
        <v>0</v>
      </c>
      <c r="H163" s="234">
        <f t="shared" si="85"/>
        <v>0</v>
      </c>
    </row>
    <row r="164" spans="1:20" ht="15.75" customHeight="1" x14ac:dyDescent="0.25">
      <c r="A164" s="266">
        <f t="shared" si="65"/>
        <v>0</v>
      </c>
      <c r="B164" s="234">
        <f t="shared" ref="B164:H164" si="86">B112-(B112*$G$7)</f>
        <v>0</v>
      </c>
      <c r="C164" s="234">
        <f t="shared" si="86"/>
        <v>0</v>
      </c>
      <c r="D164" s="234">
        <f t="shared" si="86"/>
        <v>0</v>
      </c>
      <c r="E164" s="234">
        <f t="shared" si="86"/>
        <v>0</v>
      </c>
      <c r="F164" s="234">
        <f t="shared" si="86"/>
        <v>0</v>
      </c>
      <c r="G164" s="234">
        <f t="shared" si="86"/>
        <v>0</v>
      </c>
      <c r="H164" s="234">
        <f t="shared" si="86"/>
        <v>0</v>
      </c>
    </row>
    <row r="165" spans="1:20" ht="15.75" customHeight="1" x14ac:dyDescent="0.25">
      <c r="A165" s="266" t="str">
        <f t="shared" si="65"/>
        <v>Pomegranate</v>
      </c>
      <c r="B165" s="234">
        <f t="shared" ref="B165:H165" si="87">B113-(B113*$G$7)</f>
        <v>0</v>
      </c>
      <c r="C165" s="234">
        <f t="shared" si="87"/>
        <v>0</v>
      </c>
      <c r="D165" s="234">
        <f t="shared" si="87"/>
        <v>0</v>
      </c>
      <c r="E165" s="234">
        <f t="shared" si="87"/>
        <v>0</v>
      </c>
      <c r="F165" s="234">
        <f t="shared" si="87"/>
        <v>0</v>
      </c>
      <c r="G165" s="234">
        <f t="shared" si="87"/>
        <v>0</v>
      </c>
      <c r="H165" s="234">
        <f t="shared" si="87"/>
        <v>0</v>
      </c>
    </row>
    <row r="166" spans="1:20" ht="15.75" customHeight="1" x14ac:dyDescent="0.25">
      <c r="A166" s="266" t="str">
        <f t="shared" si="65"/>
        <v>Custard Apple</v>
      </c>
      <c r="B166" s="234">
        <f t="shared" ref="B166:H166" si="88">B114-(B114*$G$7)</f>
        <v>0</v>
      </c>
      <c r="C166" s="234">
        <f t="shared" si="88"/>
        <v>0</v>
      </c>
      <c r="D166" s="234">
        <f t="shared" si="88"/>
        <v>0</v>
      </c>
      <c r="E166" s="234">
        <f t="shared" si="88"/>
        <v>0</v>
      </c>
      <c r="F166" s="234">
        <f t="shared" si="88"/>
        <v>0</v>
      </c>
      <c r="G166" s="234">
        <f t="shared" si="88"/>
        <v>0</v>
      </c>
      <c r="H166" s="234">
        <f t="shared" si="88"/>
        <v>0</v>
      </c>
    </row>
    <row r="167" spans="1:20" ht="15.75" customHeight="1" x14ac:dyDescent="0.25">
      <c r="A167" s="266" t="str">
        <f t="shared" si="65"/>
        <v>Guava</v>
      </c>
      <c r="B167" s="234">
        <f t="shared" ref="B167:H167" si="89">B115-(B115*$G$7)</f>
        <v>0</v>
      </c>
      <c r="C167" s="234">
        <f t="shared" si="89"/>
        <v>0</v>
      </c>
      <c r="D167" s="234">
        <f t="shared" si="89"/>
        <v>0</v>
      </c>
      <c r="E167" s="234">
        <f t="shared" si="89"/>
        <v>0</v>
      </c>
      <c r="F167" s="234">
        <f t="shared" si="89"/>
        <v>0</v>
      </c>
      <c r="G167" s="234">
        <f t="shared" si="89"/>
        <v>0</v>
      </c>
      <c r="H167" s="234">
        <f t="shared" si="89"/>
        <v>0</v>
      </c>
    </row>
    <row r="168" spans="1:20" ht="15.75" customHeight="1" x14ac:dyDescent="0.25">
      <c r="A168" s="266" t="str">
        <f t="shared" si="65"/>
        <v>Citrus</v>
      </c>
      <c r="B168" s="234">
        <f t="shared" ref="B168:H168" si="90">B116-(B116*$G$7)</f>
        <v>0</v>
      </c>
      <c r="C168" s="234">
        <f t="shared" si="90"/>
        <v>0</v>
      </c>
      <c r="D168" s="234">
        <f t="shared" si="90"/>
        <v>0</v>
      </c>
      <c r="E168" s="234">
        <f t="shared" si="90"/>
        <v>0</v>
      </c>
      <c r="F168" s="234">
        <f t="shared" si="90"/>
        <v>0</v>
      </c>
      <c r="G168" s="234">
        <f t="shared" si="90"/>
        <v>0</v>
      </c>
      <c r="H168" s="234">
        <f t="shared" si="90"/>
        <v>0</v>
      </c>
    </row>
    <row r="169" spans="1:20" ht="15.75" customHeight="1" x14ac:dyDescent="0.25">
      <c r="A169" s="69"/>
    </row>
    <row r="170" spans="1:20" ht="15.75" customHeight="1" x14ac:dyDescent="0.3">
      <c r="A170" s="354" t="s">
        <v>585</v>
      </c>
      <c r="B170" s="338"/>
      <c r="C170" s="338"/>
      <c r="D170" s="338"/>
      <c r="E170" s="338"/>
      <c r="F170" s="338"/>
      <c r="G170" s="338"/>
      <c r="H170" s="338"/>
      <c r="I170" s="338"/>
      <c r="J170" s="338"/>
    </row>
    <row r="171" spans="1:20" ht="15.75" customHeight="1" x14ac:dyDescent="0.25">
      <c r="A171" s="26"/>
      <c r="B171" s="26"/>
      <c r="C171" s="26"/>
      <c r="D171" s="26"/>
      <c r="E171" s="26"/>
      <c r="F171" s="26"/>
      <c r="G171" s="26"/>
      <c r="H171" s="26"/>
    </row>
    <row r="172" spans="1:20" ht="15.75" customHeight="1" x14ac:dyDescent="0.25">
      <c r="A172" s="92"/>
      <c r="B172" s="92"/>
      <c r="C172" s="92"/>
      <c r="D172" s="267">
        <v>1</v>
      </c>
      <c r="E172" s="268">
        <f t="shared" ref="E172:J172" si="91">(D172*5%)+D172</f>
        <v>1.05</v>
      </c>
      <c r="F172" s="268">
        <f t="shared" si="91"/>
        <v>1.1025</v>
      </c>
      <c r="G172" s="268">
        <f t="shared" si="91"/>
        <v>1.1576250000000001</v>
      </c>
      <c r="H172" s="268">
        <f t="shared" si="91"/>
        <v>1.2155062500000002</v>
      </c>
      <c r="I172" s="268">
        <f t="shared" si="91"/>
        <v>1.2762815625000004</v>
      </c>
      <c r="J172" s="268">
        <f t="shared" si="91"/>
        <v>1.3400956406250004</v>
      </c>
      <c r="K172" s="69"/>
      <c r="L172" s="69"/>
      <c r="M172" s="69"/>
      <c r="N172" s="69"/>
      <c r="O172" s="69"/>
      <c r="P172" s="69"/>
      <c r="Q172" s="69"/>
      <c r="R172" s="69"/>
      <c r="S172" s="69"/>
      <c r="T172" s="69"/>
    </row>
    <row r="173" spans="1:20" ht="15.75" customHeight="1" x14ac:dyDescent="0.25">
      <c r="A173" s="69"/>
      <c r="B173" s="69"/>
      <c r="C173" s="69"/>
      <c r="D173" s="69"/>
      <c r="E173" s="69"/>
      <c r="F173" s="69"/>
      <c r="G173" s="69"/>
      <c r="H173" s="69"/>
      <c r="I173" s="69"/>
      <c r="J173" s="69"/>
      <c r="K173" s="69"/>
      <c r="L173" s="69"/>
      <c r="M173" s="69"/>
      <c r="N173" s="69"/>
      <c r="O173" s="69"/>
      <c r="P173" s="69"/>
      <c r="Q173" s="69"/>
      <c r="R173" s="69"/>
      <c r="S173" s="69"/>
      <c r="T173" s="69"/>
    </row>
    <row r="174" spans="1:20" ht="15.75" customHeight="1" x14ac:dyDescent="0.25">
      <c r="A174" s="69"/>
      <c r="B174" s="69"/>
      <c r="C174" s="69"/>
      <c r="D174" s="70"/>
      <c r="E174" s="70"/>
      <c r="F174" s="70"/>
      <c r="G174" s="70"/>
      <c r="H174" s="70"/>
      <c r="I174" s="70"/>
      <c r="J174" s="70"/>
      <c r="K174" s="69"/>
      <c r="L174" s="69"/>
    </row>
    <row r="175" spans="1:20" ht="15.75" customHeight="1" x14ac:dyDescent="0.25">
      <c r="A175" s="124" t="s">
        <v>148</v>
      </c>
      <c r="B175" s="124"/>
      <c r="C175" s="124" t="s">
        <v>131</v>
      </c>
      <c r="D175" s="125" t="s">
        <v>151</v>
      </c>
      <c r="E175" s="125" t="s">
        <v>152</v>
      </c>
      <c r="F175" s="125" t="s">
        <v>153</v>
      </c>
      <c r="G175" s="125" t="s">
        <v>154</v>
      </c>
      <c r="H175" s="125" t="s">
        <v>155</v>
      </c>
      <c r="I175" s="125" t="s">
        <v>156</v>
      </c>
      <c r="J175" s="125" t="s">
        <v>157</v>
      </c>
      <c r="K175" s="69"/>
      <c r="L175" s="69"/>
    </row>
    <row r="176" spans="1:20" ht="15.75" customHeight="1" x14ac:dyDescent="0.25">
      <c r="A176" s="77"/>
      <c r="B176" s="77"/>
      <c r="C176" s="77"/>
      <c r="D176" s="74"/>
      <c r="E176" s="74"/>
      <c r="F176" s="74"/>
      <c r="G176" s="74"/>
      <c r="H176" s="74"/>
      <c r="I176" s="74"/>
      <c r="J176" s="74"/>
      <c r="K176" s="69"/>
      <c r="L176" s="69"/>
    </row>
    <row r="177" spans="1:12" ht="15.75" customHeight="1" x14ac:dyDescent="0.25">
      <c r="A177" s="77" t="s">
        <v>348</v>
      </c>
      <c r="B177" s="77"/>
      <c r="C177" s="77"/>
      <c r="D177" s="74"/>
      <c r="E177" s="74"/>
      <c r="F177" s="74"/>
      <c r="G177" s="74"/>
      <c r="H177" s="74"/>
      <c r="I177" s="74"/>
      <c r="J177" s="74"/>
      <c r="K177" s="69"/>
      <c r="L177" s="69"/>
    </row>
    <row r="178" spans="1:12" ht="15.75" customHeight="1" x14ac:dyDescent="0.25">
      <c r="A178" s="266" t="s">
        <v>519</v>
      </c>
      <c r="B178" s="74" t="s">
        <v>586</v>
      </c>
      <c r="C178" s="269">
        <v>6600</v>
      </c>
      <c r="D178" s="266">
        <f>(B120*(1-'5.Closing Stock &amp; W Capital'!$D$16))*C$178*D172</f>
        <v>0</v>
      </c>
      <c r="E178" s="266">
        <f>((C120*(1-'5.Closing Stock &amp; W Capital'!$D$16))+(B120*'5.Closing Stock &amp; W Capital'!$D$16))*$C178*E$172</f>
        <v>0</v>
      </c>
      <c r="F178" s="266">
        <f>((D120*(1-'5.Closing Stock &amp; W Capital'!$D$16))+(C120*'5.Closing Stock &amp; W Capital'!$D$16))*$C178*F$172</f>
        <v>0</v>
      </c>
      <c r="G178" s="266">
        <f>((E120*(1-'5.Closing Stock &amp; W Capital'!$D$16))+(D120*'5.Closing Stock &amp; W Capital'!$D$16))*$C178*G$172</f>
        <v>0</v>
      </c>
      <c r="H178" s="266">
        <f>((F120*(1-'5.Closing Stock &amp; W Capital'!$D$16))+(E120*'5.Closing Stock &amp; W Capital'!$D$16))*$C178*H$172</f>
        <v>0</v>
      </c>
      <c r="I178" s="266">
        <f>((G120*(1-'5.Closing Stock &amp; W Capital'!$D$16))+(F120*'5.Closing Stock &amp; W Capital'!$D$16))*$C178*I$172</f>
        <v>0</v>
      </c>
      <c r="J178" s="266">
        <f>((H120*(1-'5.Closing Stock &amp; W Capital'!$D$16))+(G120*'5.Closing Stock &amp; W Capital'!$D$16))*$C178*J$172</f>
        <v>0</v>
      </c>
      <c r="K178" s="69"/>
      <c r="L178" s="69"/>
    </row>
    <row r="179" spans="1:12" ht="15.75" customHeight="1" x14ac:dyDescent="0.25">
      <c r="A179" s="266" t="s">
        <v>520</v>
      </c>
      <c r="B179" s="74" t="s">
        <v>586</v>
      </c>
      <c r="C179" s="269">
        <v>6000</v>
      </c>
      <c r="D179" s="266">
        <f>(B121*(1-'5.Closing Stock &amp; W Capital'!$D$16))*$C179*D$172</f>
        <v>0</v>
      </c>
      <c r="E179" s="266">
        <f>((C121*(1-'5.Closing Stock &amp; W Capital'!$D$16))+(B121*'5.Closing Stock &amp; W Capital'!$D$16))*$C179*E$172</f>
        <v>0</v>
      </c>
      <c r="F179" s="266">
        <f>((D121*(1-'5.Closing Stock &amp; W Capital'!$D$16))+(C121*'5.Closing Stock &amp; W Capital'!$D$16))*$C179*F$172</f>
        <v>0</v>
      </c>
      <c r="G179" s="266">
        <f>((E121*(1-'5.Closing Stock &amp; W Capital'!$D$16))+(D121*'5.Closing Stock &amp; W Capital'!$D$16))*$C179*G$172</f>
        <v>0</v>
      </c>
      <c r="H179" s="266">
        <f>((F121*(1-'5.Closing Stock &amp; W Capital'!$D$16))+(E121*'5.Closing Stock &amp; W Capital'!$D$16))*$C179*H$172</f>
        <v>0</v>
      </c>
      <c r="I179" s="266">
        <f>((G121*(1-'5.Closing Stock &amp; W Capital'!$D$16))+(F121*'5.Closing Stock &amp; W Capital'!$D$16))*$C179*I$172</f>
        <v>0</v>
      </c>
      <c r="J179" s="266">
        <f>((H121*(1-'5.Closing Stock &amp; W Capital'!$D$16))+(G121*'5.Closing Stock &amp; W Capital'!$D$16))*$C179*J$172</f>
        <v>0</v>
      </c>
      <c r="K179" s="69"/>
      <c r="L179" s="69"/>
    </row>
    <row r="180" spans="1:12" ht="15.75" customHeight="1" x14ac:dyDescent="0.25">
      <c r="A180" s="266" t="s">
        <v>521</v>
      </c>
      <c r="B180" s="74" t="s">
        <v>586</v>
      </c>
      <c r="C180" s="269"/>
      <c r="D180" s="266">
        <f>(B122*(1-'5.Closing Stock &amp; W Capital'!$D$16))*$C180*D$172</f>
        <v>0</v>
      </c>
      <c r="E180" s="266">
        <f>((C122*(1-'5.Closing Stock &amp; W Capital'!$D$16))+(B122*'5.Closing Stock &amp; W Capital'!$D$16))*$C180*E$172</f>
        <v>0</v>
      </c>
      <c r="F180" s="266">
        <f>((D122*(1-'5.Closing Stock &amp; W Capital'!$D$16))+(C122*'5.Closing Stock &amp; W Capital'!$D$16))*$C180*F$172</f>
        <v>0</v>
      </c>
      <c r="G180" s="266">
        <f>((E122*(1-'5.Closing Stock &amp; W Capital'!$D$16))+(D122*'5.Closing Stock &amp; W Capital'!$D$16))*$C180*G$172</f>
        <v>0</v>
      </c>
      <c r="H180" s="266">
        <f>((F122*(1-'5.Closing Stock &amp; W Capital'!$D$16))+(E122*'5.Closing Stock &amp; W Capital'!$D$16))*$C180*H$172</f>
        <v>0</v>
      </c>
      <c r="I180" s="266">
        <f>((G122*(1-'5.Closing Stock &amp; W Capital'!$D$16))+(F122*'5.Closing Stock &amp; W Capital'!$D$16))*$C180*I$172</f>
        <v>0</v>
      </c>
      <c r="J180" s="266">
        <f>((H122*(1-'5.Closing Stock &amp; W Capital'!$D$16))+(G122*'5.Closing Stock &amp; W Capital'!$D$16))*$C180*J$172</f>
        <v>0</v>
      </c>
      <c r="K180" s="69"/>
      <c r="L180" s="69"/>
    </row>
    <row r="181" spans="1:12" ht="15.75" customHeight="1" x14ac:dyDescent="0.25">
      <c r="A181" s="266" t="s">
        <v>522</v>
      </c>
      <c r="B181" s="74" t="s">
        <v>586</v>
      </c>
      <c r="C181" s="269">
        <v>6000</v>
      </c>
      <c r="D181" s="266">
        <f>(B123*(1-'5.Closing Stock &amp; W Capital'!$D$16))*$C181*D$172</f>
        <v>0</v>
      </c>
      <c r="E181" s="266">
        <f>((C123*(1-'5.Closing Stock &amp; W Capital'!$D$16))+(B123*'5.Closing Stock &amp; W Capital'!$D$16))*$C181*E$172</f>
        <v>0</v>
      </c>
      <c r="F181" s="266">
        <f>((D123*(1-'5.Closing Stock &amp; W Capital'!$D$16))+(C123*'5.Closing Stock &amp; W Capital'!$D$16))*$C181*F$172</f>
        <v>0</v>
      </c>
      <c r="G181" s="266">
        <f>((E123*(1-'5.Closing Stock &amp; W Capital'!$D$16))+(D123*'5.Closing Stock &amp; W Capital'!$D$16))*$C181*G$172</f>
        <v>0</v>
      </c>
      <c r="H181" s="266">
        <f>((F123*(1-'5.Closing Stock &amp; W Capital'!$D$16))+(E123*'5.Closing Stock &amp; W Capital'!$D$16))*$C181*H$172</f>
        <v>0</v>
      </c>
      <c r="I181" s="266">
        <f>((G123*(1-'5.Closing Stock &amp; W Capital'!$D$16))+(F123*'5.Closing Stock &amp; W Capital'!$D$16))*$C181*I$172</f>
        <v>0</v>
      </c>
      <c r="J181" s="266">
        <f>((H123*(1-'5.Closing Stock &amp; W Capital'!$D$16))+(G123*'5.Closing Stock &amp; W Capital'!$D$16))*$C181*J$172</f>
        <v>0</v>
      </c>
      <c r="K181" s="69"/>
      <c r="L181" s="69"/>
    </row>
    <row r="182" spans="1:12" ht="15.75" customHeight="1" x14ac:dyDescent="0.25">
      <c r="A182" s="266" t="s">
        <v>523</v>
      </c>
      <c r="B182" s="74" t="s">
        <v>586</v>
      </c>
      <c r="C182" s="269">
        <v>1800</v>
      </c>
      <c r="D182" s="266">
        <f>(B124*(1-'5.Closing Stock &amp; W Capital'!$D$16))*$C182*D$172</f>
        <v>0</v>
      </c>
      <c r="E182" s="266">
        <f>((C124*(1-'5.Closing Stock &amp; W Capital'!$D$16))+(B124*'5.Closing Stock &amp; W Capital'!$D$16))*$C182*E$172</f>
        <v>0</v>
      </c>
      <c r="F182" s="266">
        <f>((D124*(1-'5.Closing Stock &amp; W Capital'!$D$16))+(C124*'5.Closing Stock &amp; W Capital'!$D$16))*$C182*F$172</f>
        <v>0</v>
      </c>
      <c r="G182" s="266">
        <f>((E124*(1-'5.Closing Stock &amp; W Capital'!$D$16))+(D124*'5.Closing Stock &amp; W Capital'!$D$16))*$C182*G$172</f>
        <v>0</v>
      </c>
      <c r="H182" s="266">
        <f>((F124*(1-'5.Closing Stock &amp; W Capital'!$D$16))+(E124*'5.Closing Stock &amp; W Capital'!$D$16))*$C182*H$172</f>
        <v>0</v>
      </c>
      <c r="I182" s="266">
        <f>((G124*(1-'5.Closing Stock &amp; W Capital'!$D$16))+(F124*'5.Closing Stock &amp; W Capital'!$D$16))*$C182*I$172</f>
        <v>0</v>
      </c>
      <c r="J182" s="266">
        <f>((H124*(1-'5.Closing Stock &amp; W Capital'!$D$16))+(G124*'5.Closing Stock &amp; W Capital'!$D$16))*$C182*J$172</f>
        <v>0</v>
      </c>
      <c r="K182" s="69"/>
      <c r="L182" s="69"/>
    </row>
    <row r="183" spans="1:12" ht="15.75" customHeight="1" x14ac:dyDescent="0.25">
      <c r="A183" s="266" t="str">
        <f t="shared" ref="A183:A198" si="92">A125</f>
        <v>Black Gram/Udid</v>
      </c>
      <c r="B183" s="74" t="s">
        <v>586</v>
      </c>
      <c r="C183" s="269">
        <v>6500</v>
      </c>
      <c r="D183" s="266">
        <f>(B125*(1-'5.Closing Stock &amp; W Capital'!$D$16))*$C183*D$172</f>
        <v>0</v>
      </c>
      <c r="E183" s="266">
        <f>((C125*(1-'5.Closing Stock &amp; W Capital'!$D$16))+(B125*'5.Closing Stock &amp; W Capital'!$D$16))*$C183*E$172</f>
        <v>0</v>
      </c>
      <c r="F183" s="266">
        <f>((D125*(1-'5.Closing Stock &amp; W Capital'!$D$16))+(C125*'5.Closing Stock &amp; W Capital'!$D$16))*$C183*F$172</f>
        <v>0</v>
      </c>
      <c r="G183" s="266">
        <f>((E125*(1-'5.Closing Stock &amp; W Capital'!$D$16))+(D125*'5.Closing Stock &amp; W Capital'!$D$16))*$C183*G$172</f>
        <v>0</v>
      </c>
      <c r="H183" s="266">
        <f>((F125*(1-'5.Closing Stock &amp; W Capital'!$D$16))+(E125*'5.Closing Stock &amp; W Capital'!$D$16))*$C183*H$172</f>
        <v>0</v>
      </c>
      <c r="I183" s="266">
        <f>((G125*(1-'5.Closing Stock &amp; W Capital'!$D$16))+(F125*'5.Closing Stock &amp; W Capital'!$D$16))*$C183*I$172</f>
        <v>0</v>
      </c>
      <c r="J183" s="266">
        <f>((H125*(1-'5.Closing Stock &amp; W Capital'!$D$16))+(G125*'5.Closing Stock &amp; W Capital'!$D$16))*$C183*J$172</f>
        <v>0</v>
      </c>
      <c r="K183" s="69"/>
      <c r="L183" s="69"/>
    </row>
    <row r="184" spans="1:12" ht="15.75" customHeight="1" x14ac:dyDescent="0.25">
      <c r="A184" s="266" t="str">
        <f t="shared" si="92"/>
        <v>Bajra</v>
      </c>
      <c r="B184" s="74" t="s">
        <v>586</v>
      </c>
      <c r="C184" s="269">
        <v>2000</v>
      </c>
      <c r="D184" s="266">
        <f>(B126*(1-'5.Closing Stock &amp; W Capital'!$D$16))*$C184*D$172</f>
        <v>0</v>
      </c>
      <c r="E184" s="266">
        <f>((C126*(1-'5.Closing Stock &amp; W Capital'!$D$16))+(B126*'5.Closing Stock &amp; W Capital'!$D$16))*$C184*E$172</f>
        <v>0</v>
      </c>
      <c r="F184" s="266">
        <f>((D126*(1-'5.Closing Stock &amp; W Capital'!$D$16))+(C126*'5.Closing Stock &amp; W Capital'!$D$16))*$C184*F$172</f>
        <v>0</v>
      </c>
      <c r="G184" s="266">
        <f>((E126*(1-'5.Closing Stock &amp; W Capital'!$D$16))+(D126*'5.Closing Stock &amp; W Capital'!$D$16))*$C184*G$172</f>
        <v>0</v>
      </c>
      <c r="H184" s="266">
        <f>((F126*(1-'5.Closing Stock &amp; W Capital'!$D$16))+(E126*'5.Closing Stock &amp; W Capital'!$D$16))*$C184*H$172</f>
        <v>0</v>
      </c>
      <c r="I184" s="266">
        <f>((G126*(1-'5.Closing Stock &amp; W Capital'!$D$16))+(F126*'5.Closing Stock &amp; W Capital'!$D$16))*$C184*I$172</f>
        <v>0</v>
      </c>
      <c r="J184" s="266">
        <f>((H126*(1-'5.Closing Stock &amp; W Capital'!$D$16))+(G126*'5.Closing Stock &amp; W Capital'!$D$16))*$C184*J$172</f>
        <v>0</v>
      </c>
      <c r="K184" s="69"/>
      <c r="L184" s="69"/>
    </row>
    <row r="185" spans="1:12" ht="15.75" customHeight="1" x14ac:dyDescent="0.25">
      <c r="A185" s="266" t="str">
        <f t="shared" si="92"/>
        <v>Jawar</v>
      </c>
      <c r="B185" s="74" t="s">
        <v>586</v>
      </c>
      <c r="C185" s="269"/>
      <c r="D185" s="266">
        <f>(B127*(1-'5.Closing Stock &amp; W Capital'!$D$16))*$C185*D$172</f>
        <v>0</v>
      </c>
      <c r="E185" s="266">
        <f>((C127*(1-'5.Closing Stock &amp; W Capital'!$D$16))+(B127*'5.Closing Stock &amp; W Capital'!$D$16))*$C185*E$172</f>
        <v>0</v>
      </c>
      <c r="F185" s="266">
        <f>((D127*(1-'5.Closing Stock &amp; W Capital'!$D$16))+(C127*'5.Closing Stock &amp; W Capital'!$D$16))*$C185*F$172</f>
        <v>0</v>
      </c>
      <c r="G185" s="266">
        <f>((E127*(1-'5.Closing Stock &amp; W Capital'!$D$16))+(D127*'5.Closing Stock &amp; W Capital'!$D$16))*$C185*G$172</f>
        <v>0</v>
      </c>
      <c r="H185" s="266">
        <f>((F127*(1-'5.Closing Stock &amp; W Capital'!$D$16))+(E127*'5.Closing Stock &amp; W Capital'!$D$16))*$C185*H$172</f>
        <v>0</v>
      </c>
      <c r="I185" s="266">
        <f>((G127*(1-'5.Closing Stock &amp; W Capital'!$D$16))+(F127*'5.Closing Stock &amp; W Capital'!$D$16))*$C185*I$172</f>
        <v>0</v>
      </c>
      <c r="J185" s="266">
        <f>((H127*(1-'5.Closing Stock &amp; W Capital'!$D$16))+(G127*'5.Closing Stock &amp; W Capital'!$D$16))*$C185*J$172</f>
        <v>0</v>
      </c>
      <c r="K185" s="69"/>
      <c r="L185" s="69"/>
    </row>
    <row r="186" spans="1:12" ht="15.75" customHeight="1" x14ac:dyDescent="0.25">
      <c r="A186" s="266" t="str">
        <f t="shared" si="92"/>
        <v>Sunflower</v>
      </c>
      <c r="B186" s="74" t="s">
        <v>586</v>
      </c>
      <c r="C186" s="269"/>
      <c r="D186" s="266">
        <f>(B128*(1-'5.Closing Stock &amp; W Capital'!$D$16))*$C186*D$172</f>
        <v>0</v>
      </c>
      <c r="E186" s="266">
        <f>((C128*(1-'5.Closing Stock &amp; W Capital'!$D$16))+(B128*'5.Closing Stock &amp; W Capital'!$D$16))*$C186*E$172</f>
        <v>0</v>
      </c>
      <c r="F186" s="266">
        <f>((D128*(1-'5.Closing Stock &amp; W Capital'!$D$16))+(C128*'5.Closing Stock &amp; W Capital'!$D$16))*$C186*F$172</f>
        <v>0</v>
      </c>
      <c r="G186" s="266">
        <f>((E128*(1-'5.Closing Stock &amp; W Capital'!$D$16))+(D128*'5.Closing Stock &amp; W Capital'!$D$16))*$C186*G$172</f>
        <v>0</v>
      </c>
      <c r="H186" s="266">
        <f>((F128*(1-'5.Closing Stock &amp; W Capital'!$D$16))+(E128*'5.Closing Stock &amp; W Capital'!$D$16))*$C186*H$172</f>
        <v>0</v>
      </c>
      <c r="I186" s="266">
        <f>((G128*(1-'5.Closing Stock &amp; W Capital'!$D$16))+(F128*'5.Closing Stock &amp; W Capital'!$D$16))*$C186*I$172</f>
        <v>0</v>
      </c>
      <c r="J186" s="266">
        <f>((H128*(1-'5.Closing Stock &amp; W Capital'!$D$16))+(G128*'5.Closing Stock &amp; W Capital'!$D$16))*$C186*J$172</f>
        <v>0</v>
      </c>
      <c r="K186" s="69"/>
      <c r="L186" s="69"/>
    </row>
    <row r="187" spans="1:12" ht="15.75" customHeight="1" x14ac:dyDescent="0.25">
      <c r="A187" s="266" t="str">
        <f t="shared" si="92"/>
        <v>Wheat</v>
      </c>
      <c r="B187" s="74" t="s">
        <v>586</v>
      </c>
      <c r="C187" s="269"/>
      <c r="D187" s="266">
        <f>(B129*(1-'5.Closing Stock &amp; W Capital'!$D$16))*$C187*D$172</f>
        <v>0</v>
      </c>
      <c r="E187" s="266">
        <f>((C129*(1-'5.Closing Stock &amp; W Capital'!$D$16))+(B129*'5.Closing Stock &amp; W Capital'!$D$16))*$C187*E$172</f>
        <v>0</v>
      </c>
      <c r="F187" s="266">
        <f>((D129*(1-'5.Closing Stock &amp; W Capital'!$D$16))+(C129*'5.Closing Stock &amp; W Capital'!$D$16))*$C187*F$172</f>
        <v>0</v>
      </c>
      <c r="G187" s="266">
        <f>((E129*(1-'5.Closing Stock &amp; W Capital'!$D$16))+(D129*'5.Closing Stock &amp; W Capital'!$D$16))*$C187*G$172</f>
        <v>0</v>
      </c>
      <c r="H187" s="266">
        <f>((F129*(1-'5.Closing Stock &amp; W Capital'!$D$16))+(E129*'5.Closing Stock &amp; W Capital'!$D$16))*$C187*H$172</f>
        <v>0</v>
      </c>
      <c r="I187" s="266">
        <f>((G129*(1-'5.Closing Stock &amp; W Capital'!$D$16))+(F129*'5.Closing Stock &amp; W Capital'!$D$16))*$C187*I$172</f>
        <v>0</v>
      </c>
      <c r="J187" s="266">
        <f>((H129*(1-'5.Closing Stock &amp; W Capital'!$D$16))+(G129*'5.Closing Stock &amp; W Capital'!$D$16))*$C187*J$172</f>
        <v>0</v>
      </c>
      <c r="K187" s="69"/>
      <c r="L187" s="69"/>
    </row>
    <row r="188" spans="1:12" ht="15.75" customHeight="1" x14ac:dyDescent="0.25">
      <c r="A188" s="266" t="str">
        <f t="shared" si="92"/>
        <v>Bengal Gram/Channa</v>
      </c>
      <c r="B188" s="74" t="s">
        <v>586</v>
      </c>
      <c r="C188" s="269">
        <v>5000</v>
      </c>
      <c r="D188" s="266">
        <f>(B130*(1-'5.Closing Stock &amp; W Capital'!$D$16))*$C188*D$172</f>
        <v>0</v>
      </c>
      <c r="E188" s="266">
        <f>((C130*(1-'5.Closing Stock &amp; W Capital'!$D$16))+(B130*'5.Closing Stock &amp; W Capital'!$D$16))*$C188*E$172</f>
        <v>0</v>
      </c>
      <c r="F188" s="266">
        <f>((D130*(1-'5.Closing Stock &amp; W Capital'!$D$16))+(C130*'5.Closing Stock &amp; W Capital'!$D$16))*$C188*F$172</f>
        <v>0</v>
      </c>
      <c r="G188" s="266">
        <f>((E130*(1-'5.Closing Stock &amp; W Capital'!$D$16))+(D130*'5.Closing Stock &amp; W Capital'!$D$16))*$C188*G$172</f>
        <v>0</v>
      </c>
      <c r="H188" s="266">
        <f>((F130*(1-'5.Closing Stock &amp; W Capital'!$D$16))+(E130*'5.Closing Stock &amp; W Capital'!$D$16))*$C188*H$172</f>
        <v>0</v>
      </c>
      <c r="I188" s="266">
        <f>((G130*(1-'5.Closing Stock &amp; W Capital'!$D$16))+(F130*'5.Closing Stock &amp; W Capital'!$D$16))*$C188*I$172</f>
        <v>0</v>
      </c>
      <c r="J188" s="266">
        <f>((H130*(1-'5.Closing Stock &amp; W Capital'!$D$16))+(G130*'5.Closing Stock &amp; W Capital'!$D$16))*$C188*J$172</f>
        <v>0</v>
      </c>
      <c r="K188" s="69"/>
      <c r="L188" s="69"/>
    </row>
    <row r="189" spans="1:12" ht="15.75" customHeight="1" x14ac:dyDescent="0.25">
      <c r="A189" s="266" t="str">
        <f t="shared" si="92"/>
        <v>Jawar</v>
      </c>
      <c r="B189" s="74" t="s">
        <v>586</v>
      </c>
      <c r="C189" s="269"/>
      <c r="D189" s="266">
        <f>(B131*(1-'5.Closing Stock &amp; W Capital'!$D$16))*$C189*D$172</f>
        <v>0</v>
      </c>
      <c r="E189" s="266">
        <f>((C131*(1-'5.Closing Stock &amp; W Capital'!$D$16))+(B131*'5.Closing Stock &amp; W Capital'!$D$16))*$C189*E$172</f>
        <v>0</v>
      </c>
      <c r="F189" s="266">
        <f>((D131*(1-'5.Closing Stock &amp; W Capital'!$D$16))+(C131*'5.Closing Stock &amp; W Capital'!$D$16))*$C189*F$172</f>
        <v>0</v>
      </c>
      <c r="G189" s="266">
        <f>((E131*(1-'5.Closing Stock &amp; W Capital'!$D$16))+(D131*'5.Closing Stock &amp; W Capital'!$D$16))*$C189*G$172</f>
        <v>0</v>
      </c>
      <c r="H189" s="266">
        <f>((F131*(1-'5.Closing Stock &amp; W Capital'!$D$16))+(E131*'5.Closing Stock &amp; W Capital'!$D$16))*$C189*H$172</f>
        <v>0</v>
      </c>
      <c r="I189" s="266">
        <f>((G131*(1-'5.Closing Stock &amp; W Capital'!$D$16))+(F131*'5.Closing Stock &amp; W Capital'!$D$16))*$C189*I$172</f>
        <v>0</v>
      </c>
      <c r="J189" s="266">
        <f>((H131*(1-'5.Closing Stock &amp; W Capital'!$D$16))+(G131*'5.Closing Stock &amp; W Capital'!$D$16))*$C189*J$172</f>
        <v>0</v>
      </c>
      <c r="K189" s="69"/>
      <c r="L189" s="69"/>
    </row>
    <row r="190" spans="1:12" ht="15.75" customHeight="1" x14ac:dyDescent="0.25">
      <c r="A190" s="266" t="str">
        <f t="shared" si="92"/>
        <v>Maize</v>
      </c>
      <c r="B190" s="74" t="s">
        <v>586</v>
      </c>
      <c r="C190" s="269">
        <v>1800</v>
      </c>
      <c r="D190" s="266">
        <f>(B132*(1-'5.Closing Stock &amp; W Capital'!$D$16))*$C190*D$172</f>
        <v>0</v>
      </c>
      <c r="E190" s="266">
        <f>((C132*(1-'5.Closing Stock &amp; W Capital'!$D$16))+(B132*'5.Closing Stock &amp; W Capital'!$D$16))*$C190*E$172</f>
        <v>0</v>
      </c>
      <c r="F190" s="266">
        <f>((D132*(1-'5.Closing Stock &amp; W Capital'!$D$16))+(C132*'5.Closing Stock &amp; W Capital'!$D$16))*$C190*F$172</f>
        <v>0</v>
      </c>
      <c r="G190" s="266">
        <f>((E132*(1-'5.Closing Stock &amp; W Capital'!$D$16))+(D132*'5.Closing Stock &amp; W Capital'!$D$16))*$C190*G$172</f>
        <v>0</v>
      </c>
      <c r="H190" s="266">
        <f>((F132*(1-'5.Closing Stock &amp; W Capital'!$D$16))+(E132*'5.Closing Stock &amp; W Capital'!$D$16))*$C190*H$172</f>
        <v>0</v>
      </c>
      <c r="I190" s="266">
        <f>((G132*(1-'5.Closing Stock &amp; W Capital'!$D$16))+(F132*'5.Closing Stock &amp; W Capital'!$D$16))*$C190*I$172</f>
        <v>0</v>
      </c>
      <c r="J190" s="266">
        <f>((H132*(1-'5.Closing Stock &amp; W Capital'!$D$16))+(G132*'5.Closing Stock &amp; W Capital'!$D$16))*$C190*J$172</f>
        <v>0</v>
      </c>
      <c r="K190" s="69"/>
      <c r="L190" s="69"/>
    </row>
    <row r="191" spans="1:12" ht="15.75" customHeight="1" x14ac:dyDescent="0.25">
      <c r="A191" s="266" t="str">
        <f t="shared" si="92"/>
        <v>Safflower</v>
      </c>
      <c r="B191" s="74" t="s">
        <v>586</v>
      </c>
      <c r="C191" s="269"/>
      <c r="D191" s="266">
        <f>(B133*(1-'5.Closing Stock &amp; W Capital'!$D$16))*$C191*D$172</f>
        <v>0</v>
      </c>
      <c r="E191" s="266">
        <f>((C133*(1-'5.Closing Stock &amp; W Capital'!$D$16))+(B133*'5.Closing Stock &amp; W Capital'!$D$16))*$C191*E$172</f>
        <v>0</v>
      </c>
      <c r="F191" s="266">
        <f>((D133*(1-'5.Closing Stock &amp; W Capital'!$D$16))+(C133*'5.Closing Stock &amp; W Capital'!$D$16))*$C191*F$172</f>
        <v>0</v>
      </c>
      <c r="G191" s="266">
        <f>((E133*(1-'5.Closing Stock &amp; W Capital'!$D$16))+(D133*'5.Closing Stock &amp; W Capital'!$D$16))*$C191*G$172</f>
        <v>0</v>
      </c>
      <c r="H191" s="266">
        <f>((F133*(1-'5.Closing Stock &amp; W Capital'!$D$16))+(E133*'5.Closing Stock &amp; W Capital'!$D$16))*$C191*H$172</f>
        <v>0</v>
      </c>
      <c r="I191" s="266">
        <f>((G133*(1-'5.Closing Stock &amp; W Capital'!$D$16))+(F133*'5.Closing Stock &amp; W Capital'!$D$16))*$C191*I$172</f>
        <v>0</v>
      </c>
      <c r="J191" s="266">
        <f>((H133*(1-'5.Closing Stock &amp; W Capital'!$D$16))+(G133*'5.Closing Stock &amp; W Capital'!$D$16))*$C191*J$172</f>
        <v>0</v>
      </c>
      <c r="K191" s="69"/>
      <c r="L191" s="69"/>
    </row>
    <row r="192" spans="1:12" ht="15.75" customHeight="1" x14ac:dyDescent="0.25">
      <c r="A192" s="266">
        <f t="shared" si="92"/>
        <v>0</v>
      </c>
      <c r="B192" s="74" t="s">
        <v>586</v>
      </c>
      <c r="C192" s="269"/>
      <c r="D192" s="266">
        <f>(B134*(1-'5.Closing Stock &amp; W Capital'!$D$16))*$C192*D$172</f>
        <v>0</v>
      </c>
      <c r="E192" s="266">
        <f>((C134*(1-'5.Closing Stock &amp; W Capital'!$D$16))+(B134*'5.Closing Stock &amp; W Capital'!$D$16))*$C192*E$172</f>
        <v>0</v>
      </c>
      <c r="F192" s="266">
        <f>((D134*(1-'5.Closing Stock &amp; W Capital'!$D$16))+(C134*'5.Closing Stock &amp; W Capital'!$D$16))*$C192*F$172</f>
        <v>0</v>
      </c>
      <c r="G192" s="266">
        <f>((E134*(1-'5.Closing Stock &amp; W Capital'!$D$16))+(D134*'5.Closing Stock &amp; W Capital'!$D$16))*$C192*G$172</f>
        <v>0</v>
      </c>
      <c r="H192" s="266">
        <f>((F134*(1-'5.Closing Stock &amp; W Capital'!$D$16))+(E134*'5.Closing Stock &amp; W Capital'!$D$16))*$C192*H$172</f>
        <v>0</v>
      </c>
      <c r="I192" s="266">
        <f>((G134*(1-'5.Closing Stock &amp; W Capital'!$D$16))+(F134*'5.Closing Stock &amp; W Capital'!$D$16))*$C192*I$172</f>
        <v>0</v>
      </c>
      <c r="J192" s="266">
        <f>((H134*(1-'5.Closing Stock &amp; W Capital'!$D$16))+(G134*'5.Closing Stock &amp; W Capital'!$D$16))*$C192*J$172</f>
        <v>0</v>
      </c>
      <c r="K192" s="69"/>
      <c r="L192" s="69"/>
    </row>
    <row r="193" spans="1:12" ht="15.75" customHeight="1" x14ac:dyDescent="0.25">
      <c r="A193" s="266">
        <f t="shared" si="92"/>
        <v>0</v>
      </c>
      <c r="B193" s="74" t="s">
        <v>586</v>
      </c>
      <c r="C193" s="269"/>
      <c r="D193" s="266">
        <f>(B135*(1-'5.Closing Stock &amp; W Capital'!$D$16))*$C193*D$172</f>
        <v>0</v>
      </c>
      <c r="E193" s="266">
        <f>((C135*(1-'5.Closing Stock &amp; W Capital'!$D$16))+(B135*'5.Closing Stock &amp; W Capital'!$D$16))*$C193*E$172</f>
        <v>0</v>
      </c>
      <c r="F193" s="266">
        <f>((D135*(1-'5.Closing Stock &amp; W Capital'!$D$16))+(C135*'5.Closing Stock &amp; W Capital'!$D$16))*$C193*F$172</f>
        <v>0</v>
      </c>
      <c r="G193" s="266">
        <f>((E135*(1-'5.Closing Stock &amp; W Capital'!$D$16))+(D135*'5.Closing Stock &amp; W Capital'!$D$16))*$C193*G$172</f>
        <v>0</v>
      </c>
      <c r="H193" s="266">
        <f>((F135*(1-'5.Closing Stock &amp; W Capital'!$D$16))+(E135*'5.Closing Stock &amp; W Capital'!$D$16))*$C193*H$172</f>
        <v>0</v>
      </c>
      <c r="I193" s="266">
        <f>((G135*(1-'5.Closing Stock &amp; W Capital'!$D$16))+(F135*'5.Closing Stock &amp; W Capital'!$D$16))*$C193*I$172</f>
        <v>0</v>
      </c>
      <c r="J193" s="266">
        <f>((H135*(1-'5.Closing Stock &amp; W Capital'!$D$16))+(G135*'5.Closing Stock &amp; W Capital'!$D$16))*$C193*J$172</f>
        <v>0</v>
      </c>
      <c r="K193" s="69"/>
      <c r="L193" s="69"/>
    </row>
    <row r="194" spans="1:12" ht="15.75" customHeight="1" x14ac:dyDescent="0.25">
      <c r="A194" s="266">
        <f t="shared" si="92"/>
        <v>0</v>
      </c>
      <c r="B194" s="74" t="s">
        <v>586</v>
      </c>
      <c r="C194" s="269"/>
      <c r="D194" s="266">
        <f>(B136*(1-'5.Closing Stock &amp; W Capital'!$D$16))*$C194*D$172</f>
        <v>0</v>
      </c>
      <c r="E194" s="266">
        <f>((C136*(1-'5.Closing Stock &amp; W Capital'!$D$16))+(B136*'5.Closing Stock &amp; W Capital'!$D$16))*$C194*E$172</f>
        <v>0</v>
      </c>
      <c r="F194" s="266">
        <f>((D136*(1-'5.Closing Stock &amp; W Capital'!$D$16))+(C136*'5.Closing Stock &amp; W Capital'!$D$16))*$C194*F$172</f>
        <v>0</v>
      </c>
      <c r="G194" s="266">
        <f>((E136*(1-'5.Closing Stock &amp; W Capital'!$D$16))+(D136*'5.Closing Stock &amp; W Capital'!$D$16))*$C194*G$172</f>
        <v>0</v>
      </c>
      <c r="H194" s="266">
        <f>((F136*(1-'5.Closing Stock &amp; W Capital'!$D$16))+(E136*'5.Closing Stock &amp; W Capital'!$D$16))*$C194*H$172</f>
        <v>0</v>
      </c>
      <c r="I194" s="266">
        <f>((G136*(1-'5.Closing Stock &amp; W Capital'!$D$16))+(F136*'5.Closing Stock &amp; W Capital'!$D$16))*$C194*I$172</f>
        <v>0</v>
      </c>
      <c r="J194" s="266">
        <f>((H136*(1-'5.Closing Stock &amp; W Capital'!$D$16))+(G136*'5.Closing Stock &amp; W Capital'!$D$16))*$C194*J$172</f>
        <v>0</v>
      </c>
      <c r="K194" s="69"/>
      <c r="L194" s="69"/>
    </row>
    <row r="195" spans="1:12" ht="15.75" customHeight="1" x14ac:dyDescent="0.25">
      <c r="A195" s="266" t="str">
        <f t="shared" si="92"/>
        <v>Turmeric</v>
      </c>
      <c r="B195" s="74" t="s">
        <v>586</v>
      </c>
      <c r="C195" s="269">
        <v>9000</v>
      </c>
      <c r="D195" s="266">
        <f>(B137*(1-'5.Closing Stock &amp; W Capital'!$D$16))*$C195*D$172</f>
        <v>4063814.9999999995</v>
      </c>
      <c r="E195" s="266">
        <f>((C137*(1-'5.Closing Stock &amp; W Capital'!$D$16))+(B137*'5.Closing Stock &amp; W Capital'!$D$16))*$C195*E$172</f>
        <v>5558336.4374999991</v>
      </c>
      <c r="F195" s="266">
        <f>((D137*(1-'5.Closing Stock &amp; W Capital'!$D$16))+(C137*'5.Closing Stock &amp; W Capital'!$D$16))*$C195*F$172</f>
        <v>7015294.3218750004</v>
      </c>
      <c r="G195" s="266">
        <f>((E137*(1-'5.Closing Stock &amp; W Capital'!$D$16))+(D137*'5.Closing Stock &amp; W Capital'!$D$16))*$C195*G$172</f>
        <v>8604052.1535937507</v>
      </c>
      <c r="H195" s="266">
        <f>((F137*(1-'5.Closing Stock &amp; W Capital'!$D$16))+(E137*'5.Closing Stock &amp; W Capital'!$D$16))*$C195*H$172</f>
        <v>10334147.532679686</v>
      </c>
      <c r="I195" s="266">
        <f>((G137*(1-'5.Closing Stock &amp; W Capital'!$D$16))+(F137*'5.Closing Stock &amp; W Capital'!$D$16))*$C195*I$172</f>
        <v>12215742.319290236</v>
      </c>
      <c r="J195" s="266">
        <f>((H137*(1-'5.Closing Stock &amp; W Capital'!$D$16))+(G137*'5.Closing Stock &amp; W Capital'!$D$16))*$C195*J$172</f>
        <v>14259661.215730142</v>
      </c>
      <c r="K195" s="69"/>
      <c r="L195" s="69"/>
    </row>
    <row r="196" spans="1:12" ht="15.75" customHeight="1" x14ac:dyDescent="0.25">
      <c r="A196" s="266">
        <f t="shared" si="92"/>
        <v>0</v>
      </c>
      <c r="B196" s="74" t="s">
        <v>586</v>
      </c>
      <c r="C196" s="269"/>
      <c r="D196" s="266">
        <f>(B138*(1-'5.Closing Stock &amp; W Capital'!$D$16))*$C196*D$172</f>
        <v>0</v>
      </c>
      <c r="E196" s="266">
        <f>((C138*(1-'5.Closing Stock &amp; W Capital'!$D$16))+(B138*'5.Closing Stock &amp; W Capital'!$D$16))*$C196*E$172</f>
        <v>0</v>
      </c>
      <c r="F196" s="266">
        <f>((D138*(1-'5.Closing Stock &amp; W Capital'!$D$16))+(C138*'5.Closing Stock &amp; W Capital'!$D$16))*$C196*F$172</f>
        <v>0</v>
      </c>
      <c r="G196" s="266">
        <f>((E138*(1-'5.Closing Stock &amp; W Capital'!$D$16))+(D138*'5.Closing Stock &amp; W Capital'!$D$16))*$C196*G$172</f>
        <v>0</v>
      </c>
      <c r="H196" s="266">
        <f>((F138*(1-'5.Closing Stock &amp; W Capital'!$D$16))+(E138*'5.Closing Stock &amp; W Capital'!$D$16))*$C196*H$172</f>
        <v>0</v>
      </c>
      <c r="I196" s="266">
        <f>((G138*(1-'5.Closing Stock &amp; W Capital'!$D$16))+(F138*'5.Closing Stock &amp; W Capital'!$D$16))*$C196*I$172</f>
        <v>0</v>
      </c>
      <c r="J196" s="266">
        <f>((H138*(1-'5.Closing Stock &amp; W Capital'!$D$16))+(G138*'5.Closing Stock &amp; W Capital'!$D$16))*$C196*J$172</f>
        <v>0</v>
      </c>
      <c r="K196" s="69"/>
      <c r="L196" s="69"/>
    </row>
    <row r="197" spans="1:12" ht="15.75" customHeight="1" x14ac:dyDescent="0.25">
      <c r="A197" s="266">
        <f t="shared" si="92"/>
        <v>0</v>
      </c>
      <c r="B197" s="74" t="s">
        <v>586</v>
      </c>
      <c r="C197" s="269"/>
      <c r="D197" s="266">
        <f>(B139*(1-'5.Closing Stock &amp; W Capital'!$D$16))*$C197*D$172</f>
        <v>0</v>
      </c>
      <c r="E197" s="266">
        <f>((C139*(1-'5.Closing Stock &amp; W Capital'!$D$16))+(B139*'5.Closing Stock &amp; W Capital'!$D$16))*$C197*E$172</f>
        <v>0</v>
      </c>
      <c r="F197" s="266">
        <f>((D139*(1-'5.Closing Stock &amp; W Capital'!$D$16))+(C139*'5.Closing Stock &amp; W Capital'!$D$16))*$C197*F$172</f>
        <v>0</v>
      </c>
      <c r="G197" s="266">
        <f>((E139*(1-'5.Closing Stock &amp; W Capital'!$D$16))+(D139*'5.Closing Stock &amp; W Capital'!$D$16))*$C197*G$172</f>
        <v>0</v>
      </c>
      <c r="H197" s="266">
        <f>((F139*(1-'5.Closing Stock &amp; W Capital'!$D$16))+(E139*'5.Closing Stock &amp; W Capital'!$D$16))*$C197*H$172</f>
        <v>0</v>
      </c>
      <c r="I197" s="266">
        <f>((G139*(1-'5.Closing Stock &amp; W Capital'!$D$16))+(F139*'5.Closing Stock &amp; W Capital'!$D$16))*$C197*I$172</f>
        <v>0</v>
      </c>
      <c r="J197" s="266">
        <f>((H139*(1-'5.Closing Stock &amp; W Capital'!$D$16))+(G139*'5.Closing Stock &amp; W Capital'!$D$16))*$C197*J$172</f>
        <v>0</v>
      </c>
      <c r="K197" s="69"/>
      <c r="L197" s="69"/>
    </row>
    <row r="198" spans="1:12" ht="15.75" customHeight="1" x14ac:dyDescent="0.25">
      <c r="A198" s="266">
        <f t="shared" si="92"/>
        <v>0</v>
      </c>
      <c r="B198" s="74" t="s">
        <v>586</v>
      </c>
      <c r="C198" s="269"/>
      <c r="D198" s="266">
        <f>(B140*(1-'5.Closing Stock &amp; W Capital'!$D$16))*$C198*D$172</f>
        <v>0</v>
      </c>
      <c r="E198" s="266">
        <f>((C140*(1-'5.Closing Stock &amp; W Capital'!$D$16))+(B140*'5.Closing Stock &amp; W Capital'!$D$16))*$C198*E$172</f>
        <v>0</v>
      </c>
      <c r="F198" s="266">
        <f>((D140*(1-'5.Closing Stock &amp; W Capital'!$D$16))+(C140*'5.Closing Stock &amp; W Capital'!$D$16))*$C198*F$172</f>
        <v>0</v>
      </c>
      <c r="G198" s="266">
        <f>((E140*(1-'5.Closing Stock &amp; W Capital'!$D$16))+(D140*'5.Closing Stock &amp; W Capital'!$D$16))*$C198*G$172</f>
        <v>0</v>
      </c>
      <c r="H198" s="266">
        <f>((F140*(1-'5.Closing Stock &amp; W Capital'!$D$16))+(E140*'5.Closing Stock &amp; W Capital'!$D$16))*$C198*H$172</f>
        <v>0</v>
      </c>
      <c r="I198" s="266">
        <f>((G140*(1-'5.Closing Stock &amp; W Capital'!$D$16))+(F140*'5.Closing Stock &amp; W Capital'!$D$16))*$C198*I$172</f>
        <v>0</v>
      </c>
      <c r="J198" s="266">
        <f>((H140*(1-'5.Closing Stock &amp; W Capital'!$D$16))+(G140*'5.Closing Stock &amp; W Capital'!$D$16))*$C198*J$172</f>
        <v>0</v>
      </c>
      <c r="K198" s="69"/>
      <c r="L198" s="69"/>
    </row>
    <row r="199" spans="1:12" ht="15.75" customHeight="1" x14ac:dyDescent="0.25">
      <c r="A199" s="74"/>
      <c r="B199" s="74" t="s">
        <v>586</v>
      </c>
      <c r="C199" s="269"/>
      <c r="D199" s="266">
        <f>(B141*(1-'5.Closing Stock &amp; W Capital'!$D$16))*$C199*D$172</f>
        <v>0</v>
      </c>
      <c r="E199" s="266">
        <f>((C141*(1-'5.Closing Stock &amp; W Capital'!$D$16))+(B141*'5.Closing Stock &amp; W Capital'!$D$16))*$C199*E$172</f>
        <v>0</v>
      </c>
      <c r="F199" s="266">
        <f>((D141*(1-'5.Closing Stock &amp; W Capital'!$D$16))+(C141*'5.Closing Stock &amp; W Capital'!$D$16))*$C199*F$172</f>
        <v>0</v>
      </c>
      <c r="G199" s="266">
        <f>((E141*(1-'5.Closing Stock &amp; W Capital'!$D$16))+(D141*'5.Closing Stock &amp; W Capital'!$D$16))*$C199*G$172</f>
        <v>0</v>
      </c>
      <c r="H199" s="266">
        <f>((F141*(1-'5.Closing Stock &amp; W Capital'!$D$16))+(E141*'5.Closing Stock &amp; W Capital'!$D$16))*$C199*H$172</f>
        <v>0</v>
      </c>
      <c r="I199" s="266">
        <f>((G141*(1-'5.Closing Stock &amp; W Capital'!$D$16))+(F141*'5.Closing Stock &amp; W Capital'!$D$16))*$C199*I$172</f>
        <v>0</v>
      </c>
      <c r="J199" s="266">
        <f>((H141*(1-'5.Closing Stock &amp; W Capital'!$D$16))+(G141*'5.Closing Stock &amp; W Capital'!$D$16))*$C199*J$172</f>
        <v>0</v>
      </c>
      <c r="K199" s="69"/>
      <c r="L199" s="69"/>
    </row>
    <row r="200" spans="1:12" ht="15.75" customHeight="1" x14ac:dyDescent="0.25">
      <c r="A200" s="77" t="s">
        <v>587</v>
      </c>
      <c r="B200" s="74" t="s">
        <v>586</v>
      </c>
      <c r="C200" s="55">
        <v>50</v>
      </c>
      <c r="D200" s="266">
        <f>B65*$C$200*D172</f>
        <v>24500</v>
      </c>
      <c r="E200" s="266">
        <f t="shared" ref="E200:J200" si="93">C65*$C$200*E172</f>
        <v>32156.25</v>
      </c>
      <c r="F200" s="266">
        <f t="shared" si="93"/>
        <v>40516.875</v>
      </c>
      <c r="G200" s="266">
        <f t="shared" si="93"/>
        <v>49633.171875000007</v>
      </c>
      <c r="H200" s="266">
        <f t="shared" si="93"/>
        <v>59559.806250000001</v>
      </c>
      <c r="I200" s="266">
        <f t="shared" si="93"/>
        <v>70355.021132812515</v>
      </c>
      <c r="J200" s="266">
        <f t="shared" si="93"/>
        <v>82080.857988281277</v>
      </c>
      <c r="K200" s="69"/>
      <c r="L200" s="69"/>
    </row>
    <row r="201" spans="1:12" ht="15.75" customHeight="1" x14ac:dyDescent="0.25">
      <c r="A201" s="77"/>
      <c r="B201" s="77"/>
      <c r="C201" s="77"/>
      <c r="D201" s="74"/>
      <c r="E201" s="74"/>
      <c r="F201" s="74"/>
      <c r="G201" s="74"/>
      <c r="H201" s="74"/>
      <c r="I201" s="74"/>
      <c r="J201" s="74"/>
      <c r="K201" s="69"/>
      <c r="L201" s="69"/>
    </row>
    <row r="202" spans="1:12" ht="15.75" customHeight="1" x14ac:dyDescent="0.25">
      <c r="A202" s="262" t="str">
        <f t="shared" ref="A202:A227" si="94">A143</f>
        <v>Fruit  &amp; Vegetables Crop Production Details</v>
      </c>
      <c r="B202" s="77"/>
      <c r="C202" s="77"/>
      <c r="D202" s="74"/>
      <c r="E202" s="74"/>
      <c r="F202" s="74"/>
      <c r="G202" s="74"/>
      <c r="H202" s="74"/>
      <c r="I202" s="74"/>
      <c r="J202" s="74"/>
      <c r="K202" s="69"/>
      <c r="L202" s="69"/>
    </row>
    <row r="203" spans="1:12" ht="15.75" customHeight="1" x14ac:dyDescent="0.25">
      <c r="A203" s="262" t="str">
        <f t="shared" si="94"/>
        <v>Onion</v>
      </c>
      <c r="B203" s="74" t="s">
        <v>586</v>
      </c>
      <c r="C203" s="270">
        <v>2000</v>
      </c>
      <c r="D203" s="266">
        <f>(B144*(1-'5.Closing Stock &amp; W Capital'!$D$16))*$C203*D$172</f>
        <v>0</v>
      </c>
      <c r="E203" s="266">
        <f>((C144*(1-'5.Closing Stock &amp; W Capital'!$D$16))+(B144*'5.Closing Stock &amp; W Capital'!$D$16))*$C203*E$172</f>
        <v>0</v>
      </c>
      <c r="F203" s="266">
        <f>((D144*(1-'5.Closing Stock &amp; W Capital'!$D$16))+(C144*'5.Closing Stock &amp; W Capital'!$D$16))*$C203*F$172</f>
        <v>0</v>
      </c>
      <c r="G203" s="266">
        <f>((E144*(1-'5.Closing Stock &amp; W Capital'!$D$16))+(D144*'5.Closing Stock &amp; W Capital'!$D$16))*$C203*G$172</f>
        <v>0</v>
      </c>
      <c r="H203" s="266">
        <f>((F144*(1-'5.Closing Stock &amp; W Capital'!$D$16))+(E144*'5.Closing Stock &amp; W Capital'!$D$16))*$C203*H$172</f>
        <v>0</v>
      </c>
      <c r="I203" s="266">
        <f>((G144*(1-'5.Closing Stock &amp; W Capital'!$D$16))+(F144*'5.Closing Stock &amp; W Capital'!$D$16))*$C203*I$172</f>
        <v>0</v>
      </c>
      <c r="J203" s="266">
        <f>((H144*(1-'5.Closing Stock &amp; W Capital'!$D$16))+(G144*'5.Closing Stock &amp; W Capital'!$D$16))*$C203*J$172</f>
        <v>0</v>
      </c>
      <c r="K203" s="69"/>
      <c r="L203" s="69"/>
    </row>
    <row r="204" spans="1:12" ht="15.75" customHeight="1" x14ac:dyDescent="0.25">
      <c r="A204" s="262" t="str">
        <f t="shared" si="94"/>
        <v>Tomato</v>
      </c>
      <c r="B204" s="74" t="s">
        <v>586</v>
      </c>
      <c r="C204" s="269">
        <v>1000</v>
      </c>
      <c r="D204" s="266">
        <f>(B145*(1-'5.Closing Stock &amp; W Capital'!$D$16))*$C204*D$172</f>
        <v>0</v>
      </c>
      <c r="E204" s="266">
        <f>((C145*(1-'5.Closing Stock &amp; W Capital'!$D$16))+(B145*'5.Closing Stock &amp; W Capital'!$D$16))*$C204*E$172</f>
        <v>0</v>
      </c>
      <c r="F204" s="266">
        <f>((D145*(1-'5.Closing Stock &amp; W Capital'!$D$16))+(C145*'5.Closing Stock &amp; W Capital'!$D$16))*$C204*F$172</f>
        <v>0</v>
      </c>
      <c r="G204" s="266">
        <f>((E145*(1-'5.Closing Stock &amp; W Capital'!$D$16))+(D145*'5.Closing Stock &amp; W Capital'!$D$16))*$C204*G$172</f>
        <v>0</v>
      </c>
      <c r="H204" s="266">
        <f>((F145*(1-'5.Closing Stock &amp; W Capital'!$D$16))+(E145*'5.Closing Stock &amp; W Capital'!$D$16))*$C204*H$172</f>
        <v>0</v>
      </c>
      <c r="I204" s="266">
        <f>((G145*(1-'5.Closing Stock &amp; W Capital'!$D$16))+(F145*'5.Closing Stock &amp; W Capital'!$D$16))*$C204*I$172</f>
        <v>0</v>
      </c>
      <c r="J204" s="266">
        <f>((H145*(1-'5.Closing Stock &amp; W Capital'!$D$16))+(G145*'5.Closing Stock &amp; W Capital'!$D$16))*$C204*J$172</f>
        <v>0</v>
      </c>
      <c r="K204" s="69"/>
      <c r="L204" s="69"/>
    </row>
    <row r="205" spans="1:12" ht="15.75" customHeight="1" x14ac:dyDescent="0.25">
      <c r="A205" s="262" t="str">
        <f t="shared" si="94"/>
        <v>Okra</v>
      </c>
      <c r="B205" s="74" t="s">
        <v>586</v>
      </c>
      <c r="C205" s="269">
        <v>1500</v>
      </c>
      <c r="D205" s="266">
        <f>(B146*(1-'5.Closing Stock &amp; W Capital'!$D$16))*$C205*D$172</f>
        <v>0</v>
      </c>
      <c r="E205" s="266">
        <f>((C146*(1-'5.Closing Stock &amp; W Capital'!$D$16))+(B146*'5.Closing Stock &amp; W Capital'!$D$16))*$C205*E$172</f>
        <v>0</v>
      </c>
      <c r="F205" s="266">
        <f>((D146*(1-'5.Closing Stock &amp; W Capital'!$D$16))+(C146*'5.Closing Stock &amp; W Capital'!$D$16))*$C205*F$172</f>
        <v>0</v>
      </c>
      <c r="G205" s="266">
        <f>((E146*(1-'5.Closing Stock &amp; W Capital'!$D$16))+(D146*'5.Closing Stock &amp; W Capital'!$D$16))*$C205*G$172</f>
        <v>0</v>
      </c>
      <c r="H205" s="266">
        <f>((F146*(1-'5.Closing Stock &amp; W Capital'!$D$16))+(E146*'5.Closing Stock &amp; W Capital'!$D$16))*$C205*H$172</f>
        <v>0</v>
      </c>
      <c r="I205" s="266">
        <f>((G146*(1-'5.Closing Stock &amp; W Capital'!$D$16))+(F146*'5.Closing Stock &amp; W Capital'!$D$16))*$C205*I$172</f>
        <v>0</v>
      </c>
      <c r="J205" s="266">
        <f>((H146*(1-'5.Closing Stock &amp; W Capital'!$D$16))+(G146*'5.Closing Stock &amp; W Capital'!$D$16))*$C205*J$172</f>
        <v>0</v>
      </c>
      <c r="K205" s="69"/>
      <c r="L205" s="69"/>
    </row>
    <row r="206" spans="1:12" ht="15.75" customHeight="1" x14ac:dyDescent="0.25">
      <c r="A206" s="262" t="str">
        <f t="shared" si="94"/>
        <v>Chilli</v>
      </c>
      <c r="B206" s="74" t="s">
        <v>586</v>
      </c>
      <c r="C206" s="269">
        <v>3000</v>
      </c>
      <c r="D206" s="266">
        <f>(B147*(1-'5.Closing Stock &amp; W Capital'!$D$16))*$C206*D$172</f>
        <v>0</v>
      </c>
      <c r="E206" s="266">
        <f>((C147*(1-'5.Closing Stock &amp; W Capital'!$D$16))+(B147*'5.Closing Stock &amp; W Capital'!$D$16))*$C206*E$172</f>
        <v>0</v>
      </c>
      <c r="F206" s="266">
        <f>((D147*(1-'5.Closing Stock &amp; W Capital'!$D$16))+(C147*'5.Closing Stock &amp; W Capital'!$D$16))*$C206*F$172</f>
        <v>0</v>
      </c>
      <c r="G206" s="266">
        <f>((E147*(1-'5.Closing Stock &amp; W Capital'!$D$16))+(D147*'5.Closing Stock &amp; W Capital'!$D$16))*$C206*G$172</f>
        <v>0</v>
      </c>
      <c r="H206" s="266">
        <f>((F147*(1-'5.Closing Stock &amp; W Capital'!$D$16))+(E147*'5.Closing Stock &amp; W Capital'!$D$16))*$C206*H$172</f>
        <v>0</v>
      </c>
      <c r="I206" s="266">
        <f>((G147*(1-'5.Closing Stock &amp; W Capital'!$D$16))+(F147*'5.Closing Stock &amp; W Capital'!$D$16))*$C206*I$172</f>
        <v>0</v>
      </c>
      <c r="J206" s="266">
        <f>((H147*(1-'5.Closing Stock &amp; W Capital'!$D$16))+(G147*'5.Closing Stock &amp; W Capital'!$D$16))*$C206*J$172</f>
        <v>0</v>
      </c>
      <c r="K206" s="69"/>
      <c r="L206" s="69"/>
    </row>
    <row r="207" spans="1:12" ht="15.75" customHeight="1" x14ac:dyDescent="0.25">
      <c r="A207" s="262" t="str">
        <f t="shared" si="94"/>
        <v>Potato</v>
      </c>
      <c r="B207" s="74" t="s">
        <v>586</v>
      </c>
      <c r="C207" s="269">
        <v>1500</v>
      </c>
      <c r="D207" s="266">
        <f>(B148*(1-'5.Closing Stock &amp; W Capital'!$D$16))*$C207*D$172</f>
        <v>0</v>
      </c>
      <c r="E207" s="266">
        <f>((C148*(1-'5.Closing Stock &amp; W Capital'!$D$16))+(B148*'5.Closing Stock &amp; W Capital'!$D$16))*$C207*E$172</f>
        <v>0</v>
      </c>
      <c r="F207" s="266">
        <f>((D148*(1-'5.Closing Stock &amp; W Capital'!$D$16))+(C148*'5.Closing Stock &amp; W Capital'!$D$16))*$C207*F$172</f>
        <v>0</v>
      </c>
      <c r="G207" s="266">
        <f>((E148*(1-'5.Closing Stock &amp; W Capital'!$D$16))+(D148*'5.Closing Stock &amp; W Capital'!$D$16))*$C207*G$172</f>
        <v>0</v>
      </c>
      <c r="H207" s="266">
        <f>((F148*(1-'5.Closing Stock &amp; W Capital'!$D$16))+(E148*'5.Closing Stock &amp; W Capital'!$D$16))*$C207*H$172</f>
        <v>0</v>
      </c>
      <c r="I207" s="266">
        <f>((G148*(1-'5.Closing Stock &amp; W Capital'!$D$16))+(F148*'5.Closing Stock &amp; W Capital'!$D$16))*$C207*I$172</f>
        <v>0</v>
      </c>
      <c r="J207" s="266">
        <f>((H148*(1-'5.Closing Stock &amp; W Capital'!$D$16))+(G148*'5.Closing Stock &amp; W Capital'!$D$16))*$C207*J$172</f>
        <v>0</v>
      </c>
      <c r="K207" s="69"/>
      <c r="L207" s="69"/>
    </row>
    <row r="208" spans="1:12" ht="15.75" customHeight="1" x14ac:dyDescent="0.25">
      <c r="A208" s="262">
        <f t="shared" si="94"/>
        <v>0</v>
      </c>
      <c r="B208" s="74" t="s">
        <v>586</v>
      </c>
      <c r="C208" s="55"/>
      <c r="D208" s="266">
        <f>(B149*(1-'5.Closing Stock &amp; W Capital'!$D$16))*$C208*D$172</f>
        <v>0</v>
      </c>
      <c r="E208" s="266">
        <f>((C149*(1-'5.Closing Stock &amp; W Capital'!$D$16))+(B149*'5.Closing Stock &amp; W Capital'!$D$16))*$C208*E$172</f>
        <v>0</v>
      </c>
      <c r="F208" s="266">
        <f>((D149*(1-'5.Closing Stock &amp; W Capital'!$D$16))+(C149*'5.Closing Stock &amp; W Capital'!$D$16))*$C208*F$172</f>
        <v>0</v>
      </c>
      <c r="G208" s="266">
        <f>((E149*(1-'5.Closing Stock &amp; W Capital'!$D$16))+(D149*'5.Closing Stock &amp; W Capital'!$D$16))*$C208*G$172</f>
        <v>0</v>
      </c>
      <c r="H208" s="266">
        <f>((F149*(1-'5.Closing Stock &amp; W Capital'!$D$16))+(E149*'5.Closing Stock &amp; W Capital'!$D$16))*$C208*H$172</f>
        <v>0</v>
      </c>
      <c r="I208" s="266">
        <f>((G149*(1-'5.Closing Stock &amp; W Capital'!$D$16))+(F149*'5.Closing Stock &amp; W Capital'!$D$16))*$C208*I$172</f>
        <v>0</v>
      </c>
      <c r="J208" s="266">
        <f>((H149*(1-'5.Closing Stock &amp; W Capital'!$D$16))+(G149*'5.Closing Stock &amp; W Capital'!$D$16))*$C208*J$172</f>
        <v>0</v>
      </c>
      <c r="K208" s="69"/>
      <c r="L208" s="69"/>
    </row>
    <row r="209" spans="1:12" ht="15.75" customHeight="1" x14ac:dyDescent="0.25">
      <c r="A209" s="262">
        <f t="shared" si="94"/>
        <v>0</v>
      </c>
      <c r="B209" s="74" t="s">
        <v>586</v>
      </c>
      <c r="C209" s="55"/>
      <c r="D209" s="266">
        <f>(B150*(1-'5.Closing Stock &amp; W Capital'!$D$16))*$C209*D$172</f>
        <v>0</v>
      </c>
      <c r="E209" s="266">
        <f>((C150*(1-'5.Closing Stock &amp; W Capital'!$D$16))+(B150*'5.Closing Stock &amp; W Capital'!$D$16))*$C209*E$172</f>
        <v>0</v>
      </c>
      <c r="F209" s="266">
        <f>((D150*(1-'5.Closing Stock &amp; W Capital'!$D$16))+(C150*'5.Closing Stock &amp; W Capital'!$D$16))*$C209*F$172</f>
        <v>0</v>
      </c>
      <c r="G209" s="266">
        <f>((E150*(1-'5.Closing Stock &amp; W Capital'!$D$16))+(D150*'5.Closing Stock &amp; W Capital'!$D$16))*$C209*G$172</f>
        <v>0</v>
      </c>
      <c r="H209" s="266">
        <f>((F150*(1-'5.Closing Stock &amp; W Capital'!$D$16))+(E150*'5.Closing Stock &amp; W Capital'!$D$16))*$C209*H$172</f>
        <v>0</v>
      </c>
      <c r="I209" s="266">
        <f>((G150*(1-'5.Closing Stock &amp; W Capital'!$D$16))+(F150*'5.Closing Stock &amp; W Capital'!$D$16))*$C209*I$172</f>
        <v>0</v>
      </c>
      <c r="J209" s="266">
        <f>((H150*(1-'5.Closing Stock &amp; W Capital'!$D$16))+(G150*'5.Closing Stock &amp; W Capital'!$D$16))*$C209*J$172</f>
        <v>0</v>
      </c>
      <c r="K209" s="69"/>
      <c r="L209" s="69"/>
    </row>
    <row r="210" spans="1:12" ht="15.75" customHeight="1" x14ac:dyDescent="0.25">
      <c r="A210" s="262">
        <f t="shared" si="94"/>
        <v>0</v>
      </c>
      <c r="B210" s="74" t="s">
        <v>586</v>
      </c>
      <c r="C210" s="55"/>
      <c r="D210" s="266">
        <f>(B151*(1-'5.Closing Stock &amp; W Capital'!$D$16))*$C210*D$172</f>
        <v>0</v>
      </c>
      <c r="E210" s="266">
        <f>((C151*(1-'5.Closing Stock &amp; W Capital'!$D$16))+(B151*'5.Closing Stock &amp; W Capital'!$D$16))*$C210*E$172</f>
        <v>0</v>
      </c>
      <c r="F210" s="266">
        <f>((D151*(1-'5.Closing Stock &amp; W Capital'!$D$16))+(C151*'5.Closing Stock &amp; W Capital'!$D$16))*$C210*F$172</f>
        <v>0</v>
      </c>
      <c r="G210" s="266">
        <f>((E151*(1-'5.Closing Stock &amp; W Capital'!$D$16))+(D151*'5.Closing Stock &amp; W Capital'!$D$16))*$C210*G$172</f>
        <v>0</v>
      </c>
      <c r="H210" s="266">
        <f>((F151*(1-'5.Closing Stock &amp; W Capital'!$D$16))+(E151*'5.Closing Stock &amp; W Capital'!$D$16))*$C210*H$172</f>
        <v>0</v>
      </c>
      <c r="I210" s="266">
        <f>((G151*(1-'5.Closing Stock &amp; W Capital'!$D$16))+(F151*'5.Closing Stock &amp; W Capital'!$D$16))*$C210*I$172</f>
        <v>0</v>
      </c>
      <c r="J210" s="266">
        <f>((H151*(1-'5.Closing Stock &amp; W Capital'!$D$16))+(G151*'5.Closing Stock &amp; W Capital'!$D$16))*$C210*J$172</f>
        <v>0</v>
      </c>
      <c r="K210" s="69"/>
      <c r="L210" s="69"/>
    </row>
    <row r="211" spans="1:12" ht="15.75" customHeight="1" x14ac:dyDescent="0.25">
      <c r="A211" s="262">
        <f t="shared" si="94"/>
        <v>0</v>
      </c>
      <c r="B211" s="74" t="s">
        <v>586</v>
      </c>
      <c r="C211" s="55"/>
      <c r="D211" s="266">
        <f>(B152*(1-'5.Closing Stock &amp; W Capital'!$D$16))*$C211*D$172</f>
        <v>0</v>
      </c>
      <c r="E211" s="266">
        <f>((C152*(1-'5.Closing Stock &amp; W Capital'!$D$16))+(B152*'5.Closing Stock &amp; W Capital'!$D$16))*$C211*E$172</f>
        <v>0</v>
      </c>
      <c r="F211" s="266">
        <f>((D152*(1-'5.Closing Stock &amp; W Capital'!$D$16))+(C152*'5.Closing Stock &amp; W Capital'!$D$16))*$C211*F$172</f>
        <v>0</v>
      </c>
      <c r="G211" s="266">
        <f>((E152*(1-'5.Closing Stock &amp; W Capital'!$D$16))+(D152*'5.Closing Stock &amp; W Capital'!$D$16))*$C211*G$172</f>
        <v>0</v>
      </c>
      <c r="H211" s="266">
        <f>((F152*(1-'5.Closing Stock &amp; W Capital'!$D$16))+(E152*'5.Closing Stock &amp; W Capital'!$D$16))*$C211*H$172</f>
        <v>0</v>
      </c>
      <c r="I211" s="266">
        <f>((G152*(1-'5.Closing Stock &amp; W Capital'!$D$16))+(F152*'5.Closing Stock &amp; W Capital'!$D$16))*$C211*I$172</f>
        <v>0</v>
      </c>
      <c r="J211" s="266">
        <f>((H152*(1-'5.Closing Stock &amp; W Capital'!$D$16))+(G152*'5.Closing Stock &amp; W Capital'!$D$16))*$C211*J$172</f>
        <v>0</v>
      </c>
      <c r="K211" s="69"/>
      <c r="L211" s="69"/>
    </row>
    <row r="212" spans="1:12" ht="15.75" customHeight="1" x14ac:dyDescent="0.25">
      <c r="A212" s="262" t="str">
        <f t="shared" si="94"/>
        <v>Onion</v>
      </c>
      <c r="B212" s="74" t="s">
        <v>586</v>
      </c>
      <c r="C212" s="269">
        <v>2000</v>
      </c>
      <c r="D212" s="266">
        <f>(B153*(1-'5.Closing Stock &amp; W Capital'!$D$16))*$C212*D$172</f>
        <v>0</v>
      </c>
      <c r="E212" s="266">
        <f>((C153*(1-'5.Closing Stock &amp; W Capital'!$D$16))+(B153*'5.Closing Stock &amp; W Capital'!$D$16))*$C212*E$172</f>
        <v>0</v>
      </c>
      <c r="F212" s="266">
        <f>((D153*(1-'5.Closing Stock &amp; W Capital'!$D$16))+(C153*'5.Closing Stock &amp; W Capital'!$D$16))*$C212*F$172</f>
        <v>0</v>
      </c>
      <c r="G212" s="266">
        <f>((E153*(1-'5.Closing Stock &amp; W Capital'!$D$16))+(D153*'5.Closing Stock &amp; W Capital'!$D$16))*$C212*G$172</f>
        <v>0</v>
      </c>
      <c r="H212" s="266">
        <f>((F153*(1-'5.Closing Stock &amp; W Capital'!$D$16))+(E153*'5.Closing Stock &amp; W Capital'!$D$16))*$C212*H$172</f>
        <v>0</v>
      </c>
      <c r="I212" s="266">
        <f>((G153*(1-'5.Closing Stock &amp; W Capital'!$D$16))+(F153*'5.Closing Stock &amp; W Capital'!$D$16))*$C212*I$172</f>
        <v>0</v>
      </c>
      <c r="J212" s="266">
        <f>((H153*(1-'5.Closing Stock &amp; W Capital'!$D$16))+(G153*'5.Closing Stock &amp; W Capital'!$D$16))*$C212*J$172</f>
        <v>0</v>
      </c>
      <c r="K212" s="69"/>
      <c r="L212" s="69"/>
    </row>
    <row r="213" spans="1:12" ht="15.75" customHeight="1" x14ac:dyDescent="0.25">
      <c r="A213" s="262" t="str">
        <f t="shared" si="94"/>
        <v>Tomato</v>
      </c>
      <c r="B213" s="74" t="s">
        <v>586</v>
      </c>
      <c r="C213" s="269">
        <v>1000</v>
      </c>
      <c r="D213" s="266">
        <f>(B154*(1-'5.Closing Stock &amp; W Capital'!$D$16))*$C213*D$172</f>
        <v>0</v>
      </c>
      <c r="E213" s="266">
        <f>((C154*(1-'5.Closing Stock &amp; W Capital'!$D$16))+(B154*'5.Closing Stock &amp; W Capital'!$D$16))*$C213*E$172</f>
        <v>0</v>
      </c>
      <c r="F213" s="266">
        <f>((D154*(1-'5.Closing Stock &amp; W Capital'!$D$16))+(C154*'5.Closing Stock &amp; W Capital'!$D$16))*$C213*F$172</f>
        <v>0</v>
      </c>
      <c r="G213" s="266">
        <f>((E154*(1-'5.Closing Stock &amp; W Capital'!$D$16))+(D154*'5.Closing Stock &amp; W Capital'!$D$16))*$C213*G$172</f>
        <v>0</v>
      </c>
      <c r="H213" s="266">
        <f>((F154*(1-'5.Closing Stock &amp; W Capital'!$D$16))+(E154*'5.Closing Stock &amp; W Capital'!$D$16))*$C213*H$172</f>
        <v>0</v>
      </c>
      <c r="I213" s="266">
        <f>((G154*(1-'5.Closing Stock &amp; W Capital'!$D$16))+(F154*'5.Closing Stock &amp; W Capital'!$D$16))*$C213*I$172</f>
        <v>0</v>
      </c>
      <c r="J213" s="266">
        <f>((H154*(1-'5.Closing Stock &amp; W Capital'!$D$16))+(G154*'5.Closing Stock &amp; W Capital'!$D$16))*$C213*J$172</f>
        <v>0</v>
      </c>
      <c r="K213" s="69"/>
      <c r="L213" s="69"/>
    </row>
    <row r="214" spans="1:12" ht="15.75" customHeight="1" x14ac:dyDescent="0.25">
      <c r="A214" s="262" t="str">
        <f t="shared" si="94"/>
        <v>Okra</v>
      </c>
      <c r="B214" s="74" t="s">
        <v>586</v>
      </c>
      <c r="C214" s="269">
        <v>1500</v>
      </c>
      <c r="D214" s="266">
        <f>(B155*(1-'5.Closing Stock &amp; W Capital'!$D$16))*$C214*D$172</f>
        <v>0</v>
      </c>
      <c r="E214" s="266">
        <f>((C155*(1-'5.Closing Stock &amp; W Capital'!$D$16))+(B155*'5.Closing Stock &amp; W Capital'!$D$16))*$C214*E$172</f>
        <v>0</v>
      </c>
      <c r="F214" s="266">
        <f>((D155*(1-'5.Closing Stock &amp; W Capital'!$D$16))+(C155*'5.Closing Stock &amp; W Capital'!$D$16))*$C214*F$172</f>
        <v>0</v>
      </c>
      <c r="G214" s="266">
        <f>((E155*(1-'5.Closing Stock &amp; W Capital'!$D$16))+(D155*'5.Closing Stock &amp; W Capital'!$D$16))*$C214*G$172</f>
        <v>0</v>
      </c>
      <c r="H214" s="266">
        <f>((F155*(1-'5.Closing Stock &amp; W Capital'!$D$16))+(E155*'5.Closing Stock &amp; W Capital'!$D$16))*$C214*H$172</f>
        <v>0</v>
      </c>
      <c r="I214" s="266">
        <f>((G155*(1-'5.Closing Stock &amp; W Capital'!$D$16))+(F155*'5.Closing Stock &amp; W Capital'!$D$16))*$C214*I$172</f>
        <v>0</v>
      </c>
      <c r="J214" s="266">
        <f>((H155*(1-'5.Closing Stock &amp; W Capital'!$D$16))+(G155*'5.Closing Stock &amp; W Capital'!$D$16))*$C214*J$172</f>
        <v>0</v>
      </c>
      <c r="K214" s="69"/>
      <c r="L214" s="69"/>
    </row>
    <row r="215" spans="1:12" ht="15.75" customHeight="1" x14ac:dyDescent="0.25">
      <c r="A215" s="262" t="str">
        <f t="shared" si="94"/>
        <v>Chilli</v>
      </c>
      <c r="B215" s="74" t="s">
        <v>586</v>
      </c>
      <c r="C215" s="269">
        <v>3000</v>
      </c>
      <c r="D215" s="266">
        <f>(B156*(1-'5.Closing Stock &amp; W Capital'!$D$16))*$C215*D$172</f>
        <v>0</v>
      </c>
      <c r="E215" s="266">
        <f>((C156*(1-'5.Closing Stock &amp; W Capital'!$D$16))+(B156*'5.Closing Stock &amp; W Capital'!$D$16))*$C215*E$172</f>
        <v>0</v>
      </c>
      <c r="F215" s="266">
        <f>((D156*(1-'5.Closing Stock &amp; W Capital'!$D$16))+(C156*'5.Closing Stock &amp; W Capital'!$D$16))*$C215*F$172</f>
        <v>0</v>
      </c>
      <c r="G215" s="266">
        <f>((E156*(1-'5.Closing Stock &amp; W Capital'!$D$16))+(D156*'5.Closing Stock &amp; W Capital'!$D$16))*$C215*G$172</f>
        <v>0</v>
      </c>
      <c r="H215" s="266">
        <f>((F156*(1-'5.Closing Stock &amp; W Capital'!$D$16))+(E156*'5.Closing Stock &amp; W Capital'!$D$16))*$C215*H$172</f>
        <v>0</v>
      </c>
      <c r="I215" s="266">
        <f>((G156*(1-'5.Closing Stock &amp; W Capital'!$D$16))+(F156*'5.Closing Stock &amp; W Capital'!$D$16))*$C215*I$172</f>
        <v>0</v>
      </c>
      <c r="J215" s="266">
        <f>((H156*(1-'5.Closing Stock &amp; W Capital'!$D$16))+(G156*'5.Closing Stock &amp; W Capital'!$D$16))*$C215*J$172</f>
        <v>0</v>
      </c>
      <c r="K215" s="69"/>
      <c r="L215" s="69"/>
    </row>
    <row r="216" spans="1:12" ht="15.75" customHeight="1" x14ac:dyDescent="0.25">
      <c r="A216" s="262" t="str">
        <f t="shared" si="94"/>
        <v>Brinjal</v>
      </c>
      <c r="B216" s="74" t="s">
        <v>586</v>
      </c>
      <c r="C216" s="269">
        <v>2000</v>
      </c>
      <c r="D216" s="266">
        <f>(B157*(1-'5.Closing Stock &amp; W Capital'!$D$16))*$C216*D$172</f>
        <v>0</v>
      </c>
      <c r="E216" s="266">
        <f>((C157*(1-'5.Closing Stock &amp; W Capital'!$D$16))+(B157*'5.Closing Stock &amp; W Capital'!$D$16))*$C216*E$172</f>
        <v>0</v>
      </c>
      <c r="F216" s="266">
        <f>((D157*(1-'5.Closing Stock &amp; W Capital'!$D$16))+(C157*'5.Closing Stock &amp; W Capital'!$D$16))*$C216*F$172</f>
        <v>0</v>
      </c>
      <c r="G216" s="266">
        <f>((E157*(1-'5.Closing Stock &amp; W Capital'!$D$16))+(D157*'5.Closing Stock &amp; W Capital'!$D$16))*$C216*G$172</f>
        <v>0</v>
      </c>
      <c r="H216" s="266">
        <f>((F157*(1-'5.Closing Stock &amp; W Capital'!$D$16))+(E157*'5.Closing Stock &amp; W Capital'!$D$16))*$C216*H$172</f>
        <v>0</v>
      </c>
      <c r="I216" s="266">
        <f>((G157*(1-'5.Closing Stock &amp; W Capital'!$D$16))+(F157*'5.Closing Stock &amp; W Capital'!$D$16))*$C216*I$172</f>
        <v>0</v>
      </c>
      <c r="J216" s="266">
        <f>((H157*(1-'5.Closing Stock &amp; W Capital'!$D$16))+(G157*'5.Closing Stock &amp; W Capital'!$D$16))*$C216*J$172</f>
        <v>0</v>
      </c>
      <c r="K216" s="69"/>
      <c r="L216" s="69"/>
    </row>
    <row r="217" spans="1:12" ht="15.75" customHeight="1" x14ac:dyDescent="0.25">
      <c r="A217" s="262">
        <f t="shared" si="94"/>
        <v>0</v>
      </c>
      <c r="B217" s="74" t="s">
        <v>586</v>
      </c>
      <c r="C217" s="269"/>
      <c r="D217" s="266">
        <f>(B158*(1-'5.Closing Stock &amp; W Capital'!$D$16))*$C217*D$172</f>
        <v>0</v>
      </c>
      <c r="E217" s="266">
        <f>((C158*(1-'5.Closing Stock &amp; W Capital'!$D$16))+(B158*'5.Closing Stock &amp; W Capital'!$D$16))*$C217*E$172</f>
        <v>0</v>
      </c>
      <c r="F217" s="266">
        <f>((D158*(1-'5.Closing Stock &amp; W Capital'!$D$16))+(C158*'5.Closing Stock &amp; W Capital'!$D$16))*$C217*F$172</f>
        <v>0</v>
      </c>
      <c r="G217" s="266">
        <f>((E158*(1-'5.Closing Stock &amp; W Capital'!$D$16))+(D158*'5.Closing Stock &amp; W Capital'!$D$16))*$C217*G$172</f>
        <v>0</v>
      </c>
      <c r="H217" s="266">
        <f>((F158*(1-'5.Closing Stock &amp; W Capital'!$D$16))+(E158*'5.Closing Stock &amp; W Capital'!$D$16))*$C217*H$172</f>
        <v>0</v>
      </c>
      <c r="I217" s="266">
        <f>((G158*(1-'5.Closing Stock &amp; W Capital'!$D$16))+(F158*'5.Closing Stock &amp; W Capital'!$D$16))*$C217*I$172</f>
        <v>0</v>
      </c>
      <c r="J217" s="266">
        <f>((H158*(1-'5.Closing Stock &amp; W Capital'!$D$16))+(G158*'5.Closing Stock &amp; W Capital'!$D$16))*$C217*J$172</f>
        <v>0</v>
      </c>
      <c r="K217" s="69"/>
      <c r="L217" s="69"/>
    </row>
    <row r="218" spans="1:12" ht="15.75" customHeight="1" x14ac:dyDescent="0.25">
      <c r="A218" s="262">
        <f t="shared" si="94"/>
        <v>0</v>
      </c>
      <c r="B218" s="74" t="s">
        <v>586</v>
      </c>
      <c r="C218" s="269"/>
      <c r="D218" s="266">
        <f>(B159*(1-'5.Closing Stock &amp; W Capital'!$D$16))*$C218*D$172</f>
        <v>0</v>
      </c>
      <c r="E218" s="266">
        <f>((C159*(1-'5.Closing Stock &amp; W Capital'!$D$16))+(B159*'5.Closing Stock &amp; W Capital'!$D$16))*$C218*E$172</f>
        <v>0</v>
      </c>
      <c r="F218" s="266">
        <f>((D159*(1-'5.Closing Stock &amp; W Capital'!$D$16))+(C159*'5.Closing Stock &amp; W Capital'!$D$16))*$C218*F$172</f>
        <v>0</v>
      </c>
      <c r="G218" s="266">
        <f>((E159*(1-'5.Closing Stock &amp; W Capital'!$D$16))+(D159*'5.Closing Stock &amp; W Capital'!$D$16))*$C218*G$172</f>
        <v>0</v>
      </c>
      <c r="H218" s="266">
        <f>((F159*(1-'5.Closing Stock &amp; W Capital'!$D$16))+(E159*'5.Closing Stock &amp; W Capital'!$D$16))*$C218*H$172</f>
        <v>0</v>
      </c>
      <c r="I218" s="266">
        <f>((G159*(1-'5.Closing Stock &amp; W Capital'!$D$16))+(F159*'5.Closing Stock &amp; W Capital'!$D$16))*$C218*I$172</f>
        <v>0</v>
      </c>
      <c r="J218" s="266">
        <f>((H159*(1-'5.Closing Stock &amp; W Capital'!$D$16))+(G159*'5.Closing Stock &amp; W Capital'!$D$16))*$C218*J$172</f>
        <v>0</v>
      </c>
      <c r="K218" s="69"/>
      <c r="L218" s="69"/>
    </row>
    <row r="219" spans="1:12" ht="15.75" customHeight="1" x14ac:dyDescent="0.25">
      <c r="A219" s="262">
        <f t="shared" si="94"/>
        <v>0</v>
      </c>
      <c r="B219" s="74" t="s">
        <v>586</v>
      </c>
      <c r="C219" s="269"/>
      <c r="D219" s="266">
        <f>(B160*(1-'5.Closing Stock &amp; W Capital'!$D$16))*$C219*D$172</f>
        <v>0</v>
      </c>
      <c r="E219" s="266">
        <f>((C160*(1-'5.Closing Stock &amp; W Capital'!$D$16))+(B160*'5.Closing Stock &amp; W Capital'!$D$16))*$C219*E$172</f>
        <v>0</v>
      </c>
      <c r="F219" s="266">
        <f>((D160*(1-'5.Closing Stock &amp; W Capital'!$D$16))+(C160*'5.Closing Stock &amp; W Capital'!$D$16))*$C219*F$172</f>
        <v>0</v>
      </c>
      <c r="G219" s="266">
        <f>((E160*(1-'5.Closing Stock &amp; W Capital'!$D$16))+(D160*'5.Closing Stock &amp; W Capital'!$D$16))*$C219*G$172</f>
        <v>0</v>
      </c>
      <c r="H219" s="266">
        <f>((F160*(1-'5.Closing Stock &amp; W Capital'!$D$16))+(E160*'5.Closing Stock &amp; W Capital'!$D$16))*$C219*H$172</f>
        <v>0</v>
      </c>
      <c r="I219" s="266">
        <f>((G160*(1-'5.Closing Stock &amp; W Capital'!$D$16))+(F160*'5.Closing Stock &amp; W Capital'!$D$16))*$C219*I$172</f>
        <v>0</v>
      </c>
      <c r="J219" s="266">
        <f>((H160*(1-'5.Closing Stock &amp; W Capital'!$D$16))+(G160*'5.Closing Stock &amp; W Capital'!$D$16))*$C219*J$172</f>
        <v>0</v>
      </c>
      <c r="K219" s="69"/>
      <c r="L219" s="69"/>
    </row>
    <row r="220" spans="1:12" ht="15.75" customHeight="1" x14ac:dyDescent="0.25">
      <c r="A220" s="262">
        <f t="shared" si="94"/>
        <v>0</v>
      </c>
      <c r="B220" s="74" t="s">
        <v>586</v>
      </c>
      <c r="C220" s="269"/>
      <c r="D220" s="266">
        <f>(B161*(1-'5.Closing Stock &amp; W Capital'!$D$16))*$C220*D$172</f>
        <v>0</v>
      </c>
      <c r="E220" s="266">
        <f>((C161*(1-'5.Closing Stock &amp; W Capital'!$D$16))+(B161*'5.Closing Stock &amp; W Capital'!$D$16))*$C220*E$172</f>
        <v>0</v>
      </c>
      <c r="F220" s="266">
        <f>((D161*(1-'5.Closing Stock &amp; W Capital'!$D$16))+(C161*'5.Closing Stock &amp; W Capital'!$D$16))*$C220*F$172</f>
        <v>0</v>
      </c>
      <c r="G220" s="266">
        <f>((E161*(1-'5.Closing Stock &amp; W Capital'!$D$16))+(D161*'5.Closing Stock &amp; W Capital'!$D$16))*$C220*G$172</f>
        <v>0</v>
      </c>
      <c r="H220" s="266">
        <f>((F161*(1-'5.Closing Stock &amp; W Capital'!$D$16))+(E161*'5.Closing Stock &amp; W Capital'!$D$16))*$C220*H$172</f>
        <v>0</v>
      </c>
      <c r="I220" s="266">
        <f>((G161*(1-'5.Closing Stock &amp; W Capital'!$D$16))+(F161*'5.Closing Stock &amp; W Capital'!$D$16))*$C220*I$172</f>
        <v>0</v>
      </c>
      <c r="J220" s="266">
        <f>((H161*(1-'5.Closing Stock &amp; W Capital'!$D$16))+(G161*'5.Closing Stock &amp; W Capital'!$D$16))*$C220*J$172</f>
        <v>0</v>
      </c>
      <c r="K220" s="69"/>
      <c r="L220" s="69"/>
    </row>
    <row r="221" spans="1:12" ht="15.75" customHeight="1" x14ac:dyDescent="0.25">
      <c r="A221" s="262">
        <f t="shared" si="94"/>
        <v>0</v>
      </c>
      <c r="B221" s="74" t="s">
        <v>586</v>
      </c>
      <c r="C221" s="269"/>
      <c r="D221" s="266">
        <f>(B162*(1-'5.Closing Stock &amp; W Capital'!$D$16))*$C221*D$172</f>
        <v>0</v>
      </c>
      <c r="E221" s="266">
        <f>((C162*(1-'5.Closing Stock &amp; W Capital'!$D$16))+(B162*'5.Closing Stock &amp; W Capital'!$D$16))*$C221*E$172</f>
        <v>0</v>
      </c>
      <c r="F221" s="266">
        <f>((D162*(1-'5.Closing Stock &amp; W Capital'!$D$16))+(C162*'5.Closing Stock &amp; W Capital'!$D$16))*$C221*F$172</f>
        <v>0</v>
      </c>
      <c r="G221" s="266">
        <f>((E162*(1-'5.Closing Stock &amp; W Capital'!$D$16))+(D162*'5.Closing Stock &amp; W Capital'!$D$16))*$C221*G$172</f>
        <v>0</v>
      </c>
      <c r="H221" s="266">
        <f>((F162*(1-'5.Closing Stock &amp; W Capital'!$D$16))+(E162*'5.Closing Stock &amp; W Capital'!$D$16))*$C221*H$172</f>
        <v>0</v>
      </c>
      <c r="I221" s="266">
        <f>((G162*(1-'5.Closing Stock &amp; W Capital'!$D$16))+(F162*'5.Closing Stock &amp; W Capital'!$D$16))*$C221*I$172</f>
        <v>0</v>
      </c>
      <c r="J221" s="266">
        <f>((H162*(1-'5.Closing Stock &amp; W Capital'!$D$16))+(G162*'5.Closing Stock &amp; W Capital'!$D$16))*$C221*J$172</f>
        <v>0</v>
      </c>
      <c r="K221" s="69"/>
      <c r="L221" s="69"/>
    </row>
    <row r="222" spans="1:12" ht="15.75" customHeight="1" x14ac:dyDescent="0.25">
      <c r="A222" s="262">
        <f t="shared" si="94"/>
        <v>0</v>
      </c>
      <c r="B222" s="74" t="s">
        <v>586</v>
      </c>
      <c r="C222" s="269"/>
      <c r="D222" s="266">
        <f>(B163*(1-'5.Closing Stock &amp; W Capital'!$D$16))*$C222*D$172</f>
        <v>0</v>
      </c>
      <c r="E222" s="266">
        <f>((C163*(1-'5.Closing Stock &amp; W Capital'!$D$16))+(B163*'5.Closing Stock &amp; W Capital'!$D$16))*$C222*E$172</f>
        <v>0</v>
      </c>
      <c r="F222" s="266">
        <f>((D163*(1-'5.Closing Stock &amp; W Capital'!$D$16))+(C163*'5.Closing Stock &amp; W Capital'!$D$16))*$C222*F$172</f>
        <v>0</v>
      </c>
      <c r="G222" s="266">
        <f>((E163*(1-'5.Closing Stock &amp; W Capital'!$D$16))+(D163*'5.Closing Stock &amp; W Capital'!$D$16))*$C222*G$172</f>
        <v>0</v>
      </c>
      <c r="H222" s="266">
        <f>((F163*(1-'5.Closing Stock &amp; W Capital'!$D$16))+(E163*'5.Closing Stock &amp; W Capital'!$D$16))*$C222*H$172</f>
        <v>0</v>
      </c>
      <c r="I222" s="266">
        <f>((G163*(1-'5.Closing Stock &amp; W Capital'!$D$16))+(F163*'5.Closing Stock &amp; W Capital'!$D$16))*$C222*I$172</f>
        <v>0</v>
      </c>
      <c r="J222" s="266">
        <f>((H163*(1-'5.Closing Stock &amp; W Capital'!$D$16))+(G163*'5.Closing Stock &amp; W Capital'!$D$16))*$C222*J$172</f>
        <v>0</v>
      </c>
      <c r="K222" s="69"/>
      <c r="L222" s="69"/>
    </row>
    <row r="223" spans="1:12" ht="15.75" customHeight="1" x14ac:dyDescent="0.25">
      <c r="A223" s="262">
        <f t="shared" si="94"/>
        <v>0</v>
      </c>
      <c r="B223" s="74" t="s">
        <v>586</v>
      </c>
      <c r="C223" s="269"/>
      <c r="D223" s="266">
        <f>(B164*(1-'5.Closing Stock &amp; W Capital'!$D$16))*$C223*D$172</f>
        <v>0</v>
      </c>
      <c r="E223" s="266">
        <f>((C164*(1-'5.Closing Stock &amp; W Capital'!$D$16))+(B164*'5.Closing Stock &amp; W Capital'!$D$16))*$C223*E$172</f>
        <v>0</v>
      </c>
      <c r="F223" s="266">
        <f>((D164*(1-'5.Closing Stock &amp; W Capital'!$D$16))+(C164*'5.Closing Stock &amp; W Capital'!$D$16))*$C223*F$172</f>
        <v>0</v>
      </c>
      <c r="G223" s="266">
        <f>((E164*(1-'5.Closing Stock &amp; W Capital'!$D$16))+(D164*'5.Closing Stock &amp; W Capital'!$D$16))*$C223*G$172</f>
        <v>0</v>
      </c>
      <c r="H223" s="266">
        <f>((F164*(1-'5.Closing Stock &amp; W Capital'!$D$16))+(E164*'5.Closing Stock &amp; W Capital'!$D$16))*$C223*H$172</f>
        <v>0</v>
      </c>
      <c r="I223" s="266">
        <f>((G164*(1-'5.Closing Stock &amp; W Capital'!$D$16))+(F164*'5.Closing Stock &amp; W Capital'!$D$16))*$C223*I$172</f>
        <v>0</v>
      </c>
      <c r="J223" s="266">
        <f>((H164*(1-'5.Closing Stock &amp; W Capital'!$D$16))+(G164*'5.Closing Stock &amp; W Capital'!$D$16))*$C223*J$172</f>
        <v>0</v>
      </c>
      <c r="K223" s="69"/>
      <c r="L223" s="69"/>
    </row>
    <row r="224" spans="1:12" ht="15.75" customHeight="1" x14ac:dyDescent="0.25">
      <c r="A224" s="262" t="str">
        <f t="shared" si="94"/>
        <v>Pomegranate</v>
      </c>
      <c r="B224" s="74" t="s">
        <v>586</v>
      </c>
      <c r="C224" s="269">
        <v>5000</v>
      </c>
      <c r="D224" s="266">
        <f>(B165*(1-'5.Closing Stock &amp; W Capital'!$D$16))*$C224*D$172</f>
        <v>0</v>
      </c>
      <c r="E224" s="266">
        <f>((C165*(1-'5.Closing Stock &amp; W Capital'!$D$16))+(B165*'5.Closing Stock &amp; W Capital'!$D$16))*$C224*E$172</f>
        <v>0</v>
      </c>
      <c r="F224" s="266">
        <f>((D165*(1-'5.Closing Stock &amp; W Capital'!$D$16))+(C165*'5.Closing Stock &amp; W Capital'!$D$16))*$C224*F$172</f>
        <v>0</v>
      </c>
      <c r="G224" s="266">
        <f>((E165*(1-'5.Closing Stock &amp; W Capital'!$D$16))+(D165*'5.Closing Stock &amp; W Capital'!$D$16))*$C224*G$172</f>
        <v>0</v>
      </c>
      <c r="H224" s="266">
        <f>((F165*(1-'5.Closing Stock &amp; W Capital'!$D$16))+(E165*'5.Closing Stock &amp; W Capital'!$D$16))*$C224*H$172</f>
        <v>0</v>
      </c>
      <c r="I224" s="266">
        <f>((G165*(1-'5.Closing Stock &amp; W Capital'!$D$16))+(F165*'5.Closing Stock &amp; W Capital'!$D$16))*$C224*I$172</f>
        <v>0</v>
      </c>
      <c r="J224" s="266">
        <f>((H165*(1-'5.Closing Stock &amp; W Capital'!$D$16))+(G165*'5.Closing Stock &amp; W Capital'!$D$16))*$C224*J$172</f>
        <v>0</v>
      </c>
      <c r="K224" s="69"/>
      <c r="L224" s="69"/>
    </row>
    <row r="225" spans="1:12" ht="15.75" customHeight="1" x14ac:dyDescent="0.25">
      <c r="A225" s="262" t="str">
        <f t="shared" si="94"/>
        <v>Custard Apple</v>
      </c>
      <c r="B225" s="74" t="s">
        <v>586</v>
      </c>
      <c r="C225" s="269"/>
      <c r="D225" s="266">
        <f>(B166*(1-'5.Closing Stock &amp; W Capital'!$D$16))*$C225*D$172</f>
        <v>0</v>
      </c>
      <c r="E225" s="266">
        <f>((C166*(1-'5.Closing Stock &amp; W Capital'!$D$16))+(B166*'5.Closing Stock &amp; W Capital'!$D$16))*$C225*E$172</f>
        <v>0</v>
      </c>
      <c r="F225" s="266">
        <f>((D166*(1-'5.Closing Stock &amp; W Capital'!$D$16))+(C166*'5.Closing Stock &amp; W Capital'!$D$16))*$C225*F$172</f>
        <v>0</v>
      </c>
      <c r="G225" s="266">
        <f>((E166*(1-'5.Closing Stock &amp; W Capital'!$D$16))+(D166*'5.Closing Stock &amp; W Capital'!$D$16))*$C225*G$172</f>
        <v>0</v>
      </c>
      <c r="H225" s="266">
        <f>((F166*(1-'5.Closing Stock &amp; W Capital'!$D$16))+(E166*'5.Closing Stock &amp; W Capital'!$D$16))*$C225*H$172</f>
        <v>0</v>
      </c>
      <c r="I225" s="266">
        <f>((G166*(1-'5.Closing Stock &amp; W Capital'!$D$16))+(F166*'5.Closing Stock &amp; W Capital'!$D$16))*$C225*I$172</f>
        <v>0</v>
      </c>
      <c r="J225" s="266">
        <f>((H166*(1-'5.Closing Stock &amp; W Capital'!$D$16))+(G166*'5.Closing Stock &amp; W Capital'!$D$16))*$C225*J$172</f>
        <v>0</v>
      </c>
      <c r="K225" s="69"/>
      <c r="L225" s="69"/>
    </row>
    <row r="226" spans="1:12" ht="15.75" customHeight="1" x14ac:dyDescent="0.25">
      <c r="A226" s="262" t="str">
        <f t="shared" si="94"/>
        <v>Guava</v>
      </c>
      <c r="B226" s="74" t="s">
        <v>586</v>
      </c>
      <c r="C226" s="269"/>
      <c r="D226" s="266">
        <f>(B167*(1-'5.Closing Stock &amp; W Capital'!$D$16))*$C226*D$172</f>
        <v>0</v>
      </c>
      <c r="E226" s="266">
        <f>((C167*(1-'5.Closing Stock &amp; W Capital'!$D$16))+(B167*'5.Closing Stock &amp; W Capital'!$D$16))*$C226*E$172</f>
        <v>0</v>
      </c>
      <c r="F226" s="266">
        <f>((D167*(1-'5.Closing Stock &amp; W Capital'!$D$16))+(C167*'5.Closing Stock &amp; W Capital'!$D$16))*$C226*F$172</f>
        <v>0</v>
      </c>
      <c r="G226" s="266">
        <f>((E167*(1-'5.Closing Stock &amp; W Capital'!$D$16))+(D167*'5.Closing Stock &amp; W Capital'!$D$16))*$C226*G$172</f>
        <v>0</v>
      </c>
      <c r="H226" s="266">
        <f>((F167*(1-'5.Closing Stock &amp; W Capital'!$D$16))+(E167*'5.Closing Stock &amp; W Capital'!$D$16))*$C226*H$172</f>
        <v>0</v>
      </c>
      <c r="I226" s="266">
        <f>((G167*(1-'5.Closing Stock &amp; W Capital'!$D$16))+(F167*'5.Closing Stock &amp; W Capital'!$D$16))*$C226*I$172</f>
        <v>0</v>
      </c>
      <c r="J226" s="266">
        <f>((H167*(1-'5.Closing Stock &amp; W Capital'!$D$16))+(G167*'5.Closing Stock &amp; W Capital'!$D$16))*$C226*J$172</f>
        <v>0</v>
      </c>
      <c r="K226" s="69"/>
      <c r="L226" s="69"/>
    </row>
    <row r="227" spans="1:12" ht="15.75" customHeight="1" x14ac:dyDescent="0.25">
      <c r="A227" s="262" t="str">
        <f t="shared" si="94"/>
        <v>Citrus</v>
      </c>
      <c r="B227" s="74" t="s">
        <v>586</v>
      </c>
      <c r="C227" s="269"/>
      <c r="D227" s="266">
        <f>(B168*(1-'5.Closing Stock &amp; W Capital'!$D$16))*$C227*D$172</f>
        <v>0</v>
      </c>
      <c r="E227" s="266">
        <f>((C168*(1-'5.Closing Stock &amp; W Capital'!$D$16))+(B168*'5.Closing Stock &amp; W Capital'!$D$16))*$C227*E$172</f>
        <v>0</v>
      </c>
      <c r="F227" s="266">
        <f>((D168*(1-'5.Closing Stock &amp; W Capital'!$D$16))+(C168*'5.Closing Stock &amp; W Capital'!$D$16))*$C227*F$172</f>
        <v>0</v>
      </c>
      <c r="G227" s="266">
        <f>((E168*(1-'5.Closing Stock &amp; W Capital'!$D$16))+(D168*'5.Closing Stock &amp; W Capital'!$D$16))*$C227*G$172</f>
        <v>0</v>
      </c>
      <c r="H227" s="266">
        <f>((F168*(1-'5.Closing Stock &amp; W Capital'!$D$16))+(E168*'5.Closing Stock &amp; W Capital'!$D$16))*$C227*H$172</f>
        <v>0</v>
      </c>
      <c r="I227" s="266">
        <f>((G168*(1-'5.Closing Stock &amp; W Capital'!$D$16))+(F168*'5.Closing Stock &amp; W Capital'!$D$16))*$C227*I$172</f>
        <v>0</v>
      </c>
      <c r="J227" s="266">
        <f>((H168*(1-'5.Closing Stock &amp; W Capital'!$D$16))+(G168*'5.Closing Stock &amp; W Capital'!$D$16))*$C227*J$172</f>
        <v>0</v>
      </c>
      <c r="K227" s="69"/>
      <c r="L227" s="69"/>
    </row>
    <row r="228" spans="1:12" ht="15.75" customHeight="1" x14ac:dyDescent="0.25">
      <c r="A228" s="77"/>
      <c r="B228" s="77"/>
      <c r="C228" s="77"/>
      <c r="D228" s="74"/>
      <c r="E228" s="74"/>
      <c r="F228" s="74"/>
      <c r="G228" s="74"/>
      <c r="H228" s="74"/>
      <c r="I228" s="74"/>
      <c r="J228" s="74"/>
      <c r="K228" s="69"/>
      <c r="L228" s="69"/>
    </row>
    <row r="229" spans="1:12" ht="15.75" customHeight="1" x14ac:dyDescent="0.25">
      <c r="A229" s="77" t="s">
        <v>354</v>
      </c>
      <c r="B229" s="77"/>
      <c r="C229" s="77"/>
      <c r="D229" s="262">
        <f t="shared" ref="D229:J229" si="95">SUM(D178:D228)</f>
        <v>4088314.9999999995</v>
      </c>
      <c r="E229" s="262">
        <f t="shared" si="95"/>
        <v>5590492.6874999991</v>
      </c>
      <c r="F229" s="262">
        <f t="shared" si="95"/>
        <v>7055811.1968750004</v>
      </c>
      <c r="G229" s="262">
        <f t="shared" si="95"/>
        <v>8653685.3254687507</v>
      </c>
      <c r="H229" s="262">
        <f t="shared" si="95"/>
        <v>10393707.338929687</v>
      </c>
      <c r="I229" s="262">
        <f t="shared" si="95"/>
        <v>12286097.340423048</v>
      </c>
      <c r="J229" s="262">
        <f t="shared" si="95"/>
        <v>14341742.073718423</v>
      </c>
      <c r="K229" s="69"/>
      <c r="L229" s="69"/>
    </row>
    <row r="230" spans="1:12" ht="15.75" customHeight="1" x14ac:dyDescent="0.25">
      <c r="A230" s="74"/>
      <c r="B230" s="74"/>
      <c r="C230" s="74"/>
      <c r="D230" s="74"/>
      <c r="E230" s="74"/>
      <c r="F230" s="74"/>
      <c r="G230" s="74"/>
      <c r="H230" s="74"/>
      <c r="I230" s="74"/>
      <c r="J230" s="74"/>
      <c r="K230" s="69"/>
      <c r="L230" s="69"/>
    </row>
    <row r="231" spans="1:12" ht="15.75" customHeight="1" x14ac:dyDescent="0.25">
      <c r="A231" s="77" t="s">
        <v>588</v>
      </c>
      <c r="B231" s="77"/>
      <c r="C231" s="77"/>
      <c r="D231" s="74"/>
      <c r="E231" s="74"/>
      <c r="F231" s="74"/>
      <c r="G231" s="74"/>
      <c r="H231" s="74"/>
      <c r="I231" s="74"/>
      <c r="J231" s="74"/>
      <c r="K231" s="69"/>
      <c r="L231" s="69"/>
    </row>
    <row r="232" spans="1:12" ht="15.75" customHeight="1" x14ac:dyDescent="0.25">
      <c r="A232" s="77" t="s">
        <v>355</v>
      </c>
      <c r="B232" s="77"/>
      <c r="C232" s="74"/>
      <c r="D232" s="74"/>
      <c r="E232" s="74"/>
      <c r="F232" s="74"/>
      <c r="G232" s="74"/>
      <c r="H232" s="74"/>
      <c r="I232" s="74"/>
      <c r="J232" s="74"/>
      <c r="K232" s="69"/>
      <c r="L232" s="69"/>
    </row>
    <row r="233" spans="1:12" ht="15.75" customHeight="1" x14ac:dyDescent="0.25">
      <c r="A233" s="266" t="str">
        <f t="shared" ref="A233:A254" si="96">A178</f>
        <v>Soybean</v>
      </c>
      <c r="B233" s="74" t="s">
        <v>586</v>
      </c>
      <c r="C233" s="75">
        <v>6000</v>
      </c>
      <c r="D233" s="76">
        <f t="shared" ref="D233:E233" si="97">B68*$C$233*D$172</f>
        <v>0</v>
      </c>
      <c r="E233" s="76">
        <f t="shared" si="97"/>
        <v>0</v>
      </c>
      <c r="F233" s="76">
        <f t="shared" ref="F233:J233" si="98">D68*$C$233*F172</f>
        <v>0</v>
      </c>
      <c r="G233" s="76">
        <f t="shared" si="98"/>
        <v>0</v>
      </c>
      <c r="H233" s="76">
        <f t="shared" si="98"/>
        <v>0</v>
      </c>
      <c r="I233" s="76">
        <f t="shared" si="98"/>
        <v>0</v>
      </c>
      <c r="J233" s="76">
        <f t="shared" si="98"/>
        <v>0</v>
      </c>
      <c r="K233" s="69"/>
      <c r="L233" s="69"/>
    </row>
    <row r="234" spans="1:12" ht="15.75" customHeight="1" x14ac:dyDescent="0.25">
      <c r="A234" s="266" t="str">
        <f t="shared" si="96"/>
        <v>Red Gram/Tur</v>
      </c>
      <c r="B234" s="74" t="s">
        <v>586</v>
      </c>
      <c r="C234" s="75">
        <v>5800</v>
      </c>
      <c r="D234" s="76">
        <f>B69*$C$234*D$172</f>
        <v>0</v>
      </c>
      <c r="E234" s="76">
        <f t="shared" ref="E234:J234" si="99">C69*$C$234*E172</f>
        <v>0</v>
      </c>
      <c r="F234" s="76">
        <f t="shared" si="99"/>
        <v>0</v>
      </c>
      <c r="G234" s="76">
        <f t="shared" si="99"/>
        <v>0</v>
      </c>
      <c r="H234" s="76">
        <f t="shared" si="99"/>
        <v>0</v>
      </c>
      <c r="I234" s="76">
        <f t="shared" si="99"/>
        <v>0</v>
      </c>
      <c r="J234" s="76">
        <f t="shared" si="99"/>
        <v>0</v>
      </c>
      <c r="K234" s="69"/>
      <c r="L234" s="69"/>
    </row>
    <row r="235" spans="1:12" ht="15.75" customHeight="1" x14ac:dyDescent="0.25">
      <c r="A235" s="266" t="str">
        <f t="shared" si="96"/>
        <v>Paddy/Rice</v>
      </c>
      <c r="B235" s="74" t="s">
        <v>586</v>
      </c>
      <c r="C235" s="75"/>
      <c r="D235" s="76">
        <f>B70*$C$235*D$172</f>
        <v>0</v>
      </c>
      <c r="E235" s="76">
        <f t="shared" ref="E235:J235" si="100">C70*$C$235*E172</f>
        <v>0</v>
      </c>
      <c r="F235" s="76">
        <f t="shared" si="100"/>
        <v>0</v>
      </c>
      <c r="G235" s="76">
        <f t="shared" si="100"/>
        <v>0</v>
      </c>
      <c r="H235" s="76">
        <f t="shared" si="100"/>
        <v>0</v>
      </c>
      <c r="I235" s="76">
        <f t="shared" si="100"/>
        <v>0</v>
      </c>
      <c r="J235" s="76">
        <f t="shared" si="100"/>
        <v>0</v>
      </c>
      <c r="K235" s="69"/>
      <c r="L235" s="69"/>
    </row>
    <row r="236" spans="1:12" ht="15.75" customHeight="1" x14ac:dyDescent="0.25">
      <c r="A236" s="266" t="str">
        <f t="shared" si="96"/>
        <v>Green Gram/ Moong</v>
      </c>
      <c r="B236" s="74" t="s">
        <v>586</v>
      </c>
      <c r="C236" s="75">
        <v>5800</v>
      </c>
      <c r="D236" s="76">
        <f t="shared" ref="D236:J236" si="101">B71*$C$236*D$172</f>
        <v>0</v>
      </c>
      <c r="E236" s="76">
        <f t="shared" si="101"/>
        <v>0</v>
      </c>
      <c r="F236" s="76">
        <f t="shared" si="101"/>
        <v>0</v>
      </c>
      <c r="G236" s="76">
        <f t="shared" si="101"/>
        <v>0</v>
      </c>
      <c r="H236" s="76">
        <f t="shared" si="101"/>
        <v>0</v>
      </c>
      <c r="I236" s="76">
        <f t="shared" si="101"/>
        <v>0</v>
      </c>
      <c r="J236" s="76">
        <f t="shared" si="101"/>
        <v>0</v>
      </c>
      <c r="K236" s="69"/>
      <c r="L236" s="69"/>
    </row>
    <row r="237" spans="1:12" ht="15.75" customHeight="1" x14ac:dyDescent="0.25">
      <c r="A237" s="266" t="str">
        <f t="shared" si="96"/>
        <v>Maize</v>
      </c>
      <c r="B237" s="74" t="s">
        <v>586</v>
      </c>
      <c r="C237" s="75">
        <v>1300</v>
      </c>
      <c r="D237" s="76">
        <f t="shared" ref="D237:J237" si="102">B72*$C$237*D$172</f>
        <v>0</v>
      </c>
      <c r="E237" s="76">
        <f t="shared" si="102"/>
        <v>0</v>
      </c>
      <c r="F237" s="76">
        <f t="shared" si="102"/>
        <v>0</v>
      </c>
      <c r="G237" s="76">
        <f t="shared" si="102"/>
        <v>0</v>
      </c>
      <c r="H237" s="76">
        <f t="shared" si="102"/>
        <v>0</v>
      </c>
      <c r="I237" s="76">
        <f t="shared" si="102"/>
        <v>0</v>
      </c>
      <c r="J237" s="76">
        <f t="shared" si="102"/>
        <v>0</v>
      </c>
      <c r="K237" s="69"/>
      <c r="L237" s="69"/>
    </row>
    <row r="238" spans="1:12" ht="15.75" customHeight="1" x14ac:dyDescent="0.25">
      <c r="A238" s="266" t="str">
        <f t="shared" si="96"/>
        <v>Black Gram/Udid</v>
      </c>
      <c r="B238" s="74" t="s">
        <v>586</v>
      </c>
      <c r="C238" s="75">
        <v>6300</v>
      </c>
      <c r="D238" s="76">
        <f t="shared" ref="D238:J238" si="103">B73*$C$238*D$172</f>
        <v>0</v>
      </c>
      <c r="E238" s="76">
        <f t="shared" si="103"/>
        <v>0</v>
      </c>
      <c r="F238" s="76">
        <f t="shared" si="103"/>
        <v>0</v>
      </c>
      <c r="G238" s="76">
        <f t="shared" si="103"/>
        <v>0</v>
      </c>
      <c r="H238" s="76">
        <f t="shared" si="103"/>
        <v>0</v>
      </c>
      <c r="I238" s="76">
        <f t="shared" si="103"/>
        <v>0</v>
      </c>
      <c r="J238" s="76">
        <f t="shared" si="103"/>
        <v>0</v>
      </c>
      <c r="K238" s="69"/>
      <c r="L238" s="69"/>
    </row>
    <row r="239" spans="1:12" ht="15.75" customHeight="1" x14ac:dyDescent="0.25">
      <c r="A239" s="266" t="str">
        <f t="shared" si="96"/>
        <v>Bajra</v>
      </c>
      <c r="B239" s="74" t="s">
        <v>586</v>
      </c>
      <c r="C239" s="75">
        <v>1800</v>
      </c>
      <c r="D239" s="76">
        <f t="shared" ref="D239:J239" si="104">B74*$C$239*D$172</f>
        <v>0</v>
      </c>
      <c r="E239" s="76">
        <f t="shared" si="104"/>
        <v>0</v>
      </c>
      <c r="F239" s="76">
        <f t="shared" si="104"/>
        <v>0</v>
      </c>
      <c r="G239" s="76">
        <f t="shared" si="104"/>
        <v>0</v>
      </c>
      <c r="H239" s="76">
        <f t="shared" si="104"/>
        <v>0</v>
      </c>
      <c r="I239" s="76">
        <f t="shared" si="104"/>
        <v>0</v>
      </c>
      <c r="J239" s="76">
        <f t="shared" si="104"/>
        <v>0</v>
      </c>
      <c r="K239" s="69"/>
      <c r="L239" s="69"/>
    </row>
    <row r="240" spans="1:12" ht="15.75" customHeight="1" x14ac:dyDescent="0.25">
      <c r="A240" s="266" t="str">
        <f t="shared" si="96"/>
        <v>Jawar</v>
      </c>
      <c r="B240" s="74" t="s">
        <v>586</v>
      </c>
      <c r="C240" s="75"/>
      <c r="D240" s="76">
        <f t="shared" ref="D240:J240" si="105">B75*$C$240*D$172</f>
        <v>0</v>
      </c>
      <c r="E240" s="76">
        <f t="shared" si="105"/>
        <v>0</v>
      </c>
      <c r="F240" s="76">
        <f t="shared" si="105"/>
        <v>0</v>
      </c>
      <c r="G240" s="76">
        <f t="shared" si="105"/>
        <v>0</v>
      </c>
      <c r="H240" s="76">
        <f t="shared" si="105"/>
        <v>0</v>
      </c>
      <c r="I240" s="76">
        <f t="shared" si="105"/>
        <v>0</v>
      </c>
      <c r="J240" s="76">
        <f t="shared" si="105"/>
        <v>0</v>
      </c>
      <c r="K240" s="69"/>
      <c r="L240" s="69"/>
    </row>
    <row r="241" spans="1:12" ht="15.75" customHeight="1" x14ac:dyDescent="0.25">
      <c r="A241" s="266" t="str">
        <f t="shared" si="96"/>
        <v>Sunflower</v>
      </c>
      <c r="B241" s="74" t="s">
        <v>586</v>
      </c>
      <c r="C241" s="75"/>
      <c r="D241" s="76">
        <f t="shared" ref="D241:J241" si="106">B76*$C$241*D$172</f>
        <v>0</v>
      </c>
      <c r="E241" s="76">
        <f t="shared" si="106"/>
        <v>0</v>
      </c>
      <c r="F241" s="76">
        <f t="shared" si="106"/>
        <v>0</v>
      </c>
      <c r="G241" s="76">
        <f t="shared" si="106"/>
        <v>0</v>
      </c>
      <c r="H241" s="76">
        <f t="shared" si="106"/>
        <v>0</v>
      </c>
      <c r="I241" s="76">
        <f t="shared" si="106"/>
        <v>0</v>
      </c>
      <c r="J241" s="76">
        <f t="shared" si="106"/>
        <v>0</v>
      </c>
      <c r="K241" s="69"/>
      <c r="L241" s="69"/>
    </row>
    <row r="242" spans="1:12" ht="15.75" customHeight="1" x14ac:dyDescent="0.25">
      <c r="A242" s="266" t="str">
        <f t="shared" si="96"/>
        <v>Wheat</v>
      </c>
      <c r="B242" s="74" t="s">
        <v>586</v>
      </c>
      <c r="C242" s="75"/>
      <c r="D242" s="76">
        <f t="shared" ref="D242:J242" si="107">B77*$C$242*D$172</f>
        <v>0</v>
      </c>
      <c r="E242" s="76">
        <f t="shared" si="107"/>
        <v>0</v>
      </c>
      <c r="F242" s="76">
        <f t="shared" si="107"/>
        <v>0</v>
      </c>
      <c r="G242" s="76">
        <f t="shared" si="107"/>
        <v>0</v>
      </c>
      <c r="H242" s="76">
        <f t="shared" si="107"/>
        <v>0</v>
      </c>
      <c r="I242" s="76">
        <f t="shared" si="107"/>
        <v>0</v>
      </c>
      <c r="J242" s="76">
        <f t="shared" si="107"/>
        <v>0</v>
      </c>
      <c r="K242" s="69"/>
      <c r="L242" s="69"/>
    </row>
    <row r="243" spans="1:12" ht="15.75" customHeight="1" x14ac:dyDescent="0.25">
      <c r="A243" s="266" t="str">
        <f t="shared" si="96"/>
        <v>Bengal Gram/Channa</v>
      </c>
      <c r="B243" s="74" t="s">
        <v>586</v>
      </c>
      <c r="C243" s="75">
        <v>4800</v>
      </c>
      <c r="D243" s="76">
        <f t="shared" ref="D243:J243" si="108">B78*$C$243*D$172</f>
        <v>0</v>
      </c>
      <c r="E243" s="76">
        <f t="shared" si="108"/>
        <v>0</v>
      </c>
      <c r="F243" s="76">
        <f t="shared" si="108"/>
        <v>0</v>
      </c>
      <c r="G243" s="76">
        <f t="shared" si="108"/>
        <v>0</v>
      </c>
      <c r="H243" s="76">
        <f t="shared" si="108"/>
        <v>0</v>
      </c>
      <c r="I243" s="76">
        <f t="shared" si="108"/>
        <v>0</v>
      </c>
      <c r="J243" s="76">
        <f t="shared" si="108"/>
        <v>0</v>
      </c>
      <c r="K243" s="69"/>
      <c r="L243" s="69"/>
    </row>
    <row r="244" spans="1:12" ht="15.75" customHeight="1" x14ac:dyDescent="0.25">
      <c r="A244" s="266" t="str">
        <f t="shared" si="96"/>
        <v>Jawar</v>
      </c>
      <c r="B244" s="74" t="s">
        <v>586</v>
      </c>
      <c r="C244" s="75"/>
      <c r="D244" s="76">
        <f t="shared" ref="D244:J244" si="109">B79*$C$244*D$172</f>
        <v>0</v>
      </c>
      <c r="E244" s="76">
        <f t="shared" si="109"/>
        <v>0</v>
      </c>
      <c r="F244" s="76">
        <f t="shared" si="109"/>
        <v>0</v>
      </c>
      <c r="G244" s="76">
        <f t="shared" si="109"/>
        <v>0</v>
      </c>
      <c r="H244" s="76">
        <f t="shared" si="109"/>
        <v>0</v>
      </c>
      <c r="I244" s="76">
        <f t="shared" si="109"/>
        <v>0</v>
      </c>
      <c r="J244" s="76">
        <f t="shared" si="109"/>
        <v>0</v>
      </c>
      <c r="K244" s="69"/>
      <c r="L244" s="69"/>
    </row>
    <row r="245" spans="1:12" ht="15.75" customHeight="1" x14ac:dyDescent="0.25">
      <c r="A245" s="266" t="str">
        <f t="shared" si="96"/>
        <v>Maize</v>
      </c>
      <c r="B245" s="74" t="s">
        <v>586</v>
      </c>
      <c r="C245" s="75">
        <v>1300</v>
      </c>
      <c r="D245" s="76">
        <f t="shared" ref="D245:J245" si="110">B80*$C$245*D$172</f>
        <v>0</v>
      </c>
      <c r="E245" s="76">
        <f t="shared" si="110"/>
        <v>0</v>
      </c>
      <c r="F245" s="76">
        <f t="shared" si="110"/>
        <v>0</v>
      </c>
      <c r="G245" s="76">
        <f t="shared" si="110"/>
        <v>0</v>
      </c>
      <c r="H245" s="76">
        <f t="shared" si="110"/>
        <v>0</v>
      </c>
      <c r="I245" s="76">
        <f t="shared" si="110"/>
        <v>0</v>
      </c>
      <c r="J245" s="76">
        <f t="shared" si="110"/>
        <v>0</v>
      </c>
      <c r="K245" s="69"/>
      <c r="L245" s="69"/>
    </row>
    <row r="246" spans="1:12" ht="15.75" customHeight="1" x14ac:dyDescent="0.25">
      <c r="A246" s="266" t="str">
        <f t="shared" si="96"/>
        <v>Safflower</v>
      </c>
      <c r="B246" s="74" t="s">
        <v>586</v>
      </c>
      <c r="C246" s="75"/>
      <c r="D246" s="76">
        <f t="shared" ref="D246:J246" si="111">B81*$C$246*D$172</f>
        <v>0</v>
      </c>
      <c r="E246" s="76">
        <f t="shared" si="111"/>
        <v>0</v>
      </c>
      <c r="F246" s="76">
        <f t="shared" si="111"/>
        <v>0</v>
      </c>
      <c r="G246" s="76">
        <f t="shared" si="111"/>
        <v>0</v>
      </c>
      <c r="H246" s="76">
        <f t="shared" si="111"/>
        <v>0</v>
      </c>
      <c r="I246" s="76">
        <f t="shared" si="111"/>
        <v>0</v>
      </c>
      <c r="J246" s="76">
        <f t="shared" si="111"/>
        <v>0</v>
      </c>
      <c r="K246" s="69"/>
      <c r="L246" s="69"/>
    </row>
    <row r="247" spans="1:12" ht="15.75" customHeight="1" x14ac:dyDescent="0.25">
      <c r="A247" s="266">
        <f t="shared" si="96"/>
        <v>0</v>
      </c>
      <c r="B247" s="74" t="s">
        <v>586</v>
      </c>
      <c r="C247" s="75"/>
      <c r="D247" s="76">
        <f t="shared" ref="D247:J247" si="112">B82*$C$247*D$172</f>
        <v>0</v>
      </c>
      <c r="E247" s="76">
        <f t="shared" si="112"/>
        <v>0</v>
      </c>
      <c r="F247" s="76">
        <f t="shared" si="112"/>
        <v>0</v>
      </c>
      <c r="G247" s="76">
        <f t="shared" si="112"/>
        <v>0</v>
      </c>
      <c r="H247" s="76">
        <f t="shared" si="112"/>
        <v>0</v>
      </c>
      <c r="I247" s="76">
        <f t="shared" si="112"/>
        <v>0</v>
      </c>
      <c r="J247" s="76">
        <f t="shared" si="112"/>
        <v>0</v>
      </c>
      <c r="K247" s="69"/>
      <c r="L247" s="69"/>
    </row>
    <row r="248" spans="1:12" ht="15.75" customHeight="1" x14ac:dyDescent="0.25">
      <c r="A248" s="266">
        <f t="shared" si="96"/>
        <v>0</v>
      </c>
      <c r="B248" s="74" t="s">
        <v>586</v>
      </c>
      <c r="C248" s="75"/>
      <c r="D248" s="76">
        <f t="shared" ref="D248:J248" si="113">B83*$C$248*D$172</f>
        <v>0</v>
      </c>
      <c r="E248" s="76">
        <f t="shared" si="113"/>
        <v>0</v>
      </c>
      <c r="F248" s="76">
        <f t="shared" si="113"/>
        <v>0</v>
      </c>
      <c r="G248" s="76">
        <f t="shared" si="113"/>
        <v>0</v>
      </c>
      <c r="H248" s="76">
        <f t="shared" si="113"/>
        <v>0</v>
      </c>
      <c r="I248" s="76">
        <f t="shared" si="113"/>
        <v>0</v>
      </c>
      <c r="J248" s="76">
        <f t="shared" si="113"/>
        <v>0</v>
      </c>
      <c r="K248" s="69"/>
      <c r="L248" s="69"/>
    </row>
    <row r="249" spans="1:12" ht="15.75" customHeight="1" x14ac:dyDescent="0.25">
      <c r="A249" s="266">
        <f t="shared" si="96"/>
        <v>0</v>
      </c>
      <c r="B249" s="74" t="s">
        <v>586</v>
      </c>
      <c r="C249" s="75"/>
      <c r="D249" s="76">
        <f t="shared" ref="D249:J249" si="114">B84*$C249*D$172</f>
        <v>0</v>
      </c>
      <c r="E249" s="76">
        <f t="shared" si="114"/>
        <v>0</v>
      </c>
      <c r="F249" s="76">
        <f t="shared" si="114"/>
        <v>0</v>
      </c>
      <c r="G249" s="76">
        <f t="shared" si="114"/>
        <v>0</v>
      </c>
      <c r="H249" s="76">
        <f t="shared" si="114"/>
        <v>0</v>
      </c>
      <c r="I249" s="76">
        <f t="shared" si="114"/>
        <v>0</v>
      </c>
      <c r="J249" s="76">
        <f t="shared" si="114"/>
        <v>0</v>
      </c>
      <c r="K249" s="69"/>
      <c r="L249" s="69"/>
    </row>
    <row r="250" spans="1:12" ht="15.75" customHeight="1" x14ac:dyDescent="0.25">
      <c r="A250" s="266" t="str">
        <f t="shared" si="96"/>
        <v>Turmeric</v>
      </c>
      <c r="B250" s="74" t="s">
        <v>586</v>
      </c>
      <c r="C250" s="75">
        <v>8500</v>
      </c>
      <c r="D250" s="76">
        <f t="shared" ref="D250:J250" si="115">B85*$C250*D$172</f>
        <v>4165000</v>
      </c>
      <c r="E250" s="76">
        <f t="shared" si="115"/>
        <v>5466562.5</v>
      </c>
      <c r="F250" s="76">
        <f t="shared" si="115"/>
        <v>6887868.75</v>
      </c>
      <c r="G250" s="76">
        <f t="shared" si="115"/>
        <v>8437639.21875</v>
      </c>
      <c r="H250" s="76">
        <f t="shared" si="115"/>
        <v>10125167.0625</v>
      </c>
      <c r="I250" s="76">
        <f t="shared" si="115"/>
        <v>11960353.592578128</v>
      </c>
      <c r="J250" s="76">
        <f t="shared" si="115"/>
        <v>13953745.858007817</v>
      </c>
      <c r="K250" s="69"/>
      <c r="L250" s="69"/>
    </row>
    <row r="251" spans="1:12" ht="15.75" customHeight="1" x14ac:dyDescent="0.25">
      <c r="A251" s="266">
        <f t="shared" si="96"/>
        <v>0</v>
      </c>
      <c r="B251" s="74" t="s">
        <v>586</v>
      </c>
      <c r="C251" s="75"/>
      <c r="D251" s="76">
        <f t="shared" ref="D251:J251" si="116">B86*$C251*D$172</f>
        <v>0</v>
      </c>
      <c r="E251" s="76">
        <f t="shared" si="116"/>
        <v>0</v>
      </c>
      <c r="F251" s="76">
        <f t="shared" si="116"/>
        <v>0</v>
      </c>
      <c r="G251" s="76">
        <f t="shared" si="116"/>
        <v>0</v>
      </c>
      <c r="H251" s="76">
        <f t="shared" si="116"/>
        <v>0</v>
      </c>
      <c r="I251" s="76">
        <f t="shared" si="116"/>
        <v>0</v>
      </c>
      <c r="J251" s="76">
        <f t="shared" si="116"/>
        <v>0</v>
      </c>
      <c r="K251" s="69"/>
      <c r="L251" s="69"/>
    </row>
    <row r="252" spans="1:12" ht="15.75" customHeight="1" x14ac:dyDescent="0.25">
      <c r="A252" s="266">
        <f t="shared" si="96"/>
        <v>0</v>
      </c>
      <c r="B252" s="74" t="s">
        <v>586</v>
      </c>
      <c r="C252" s="75"/>
      <c r="D252" s="76">
        <f t="shared" ref="D252:J252" si="117">B87*$C252*D$172</f>
        <v>0</v>
      </c>
      <c r="E252" s="76">
        <f t="shared" si="117"/>
        <v>0</v>
      </c>
      <c r="F252" s="76">
        <f t="shared" si="117"/>
        <v>0</v>
      </c>
      <c r="G252" s="76">
        <f t="shared" si="117"/>
        <v>0</v>
      </c>
      <c r="H252" s="76">
        <f t="shared" si="117"/>
        <v>0</v>
      </c>
      <c r="I252" s="76">
        <f t="shared" si="117"/>
        <v>0</v>
      </c>
      <c r="J252" s="76">
        <f t="shared" si="117"/>
        <v>0</v>
      </c>
      <c r="K252" s="69"/>
      <c r="L252" s="69"/>
    </row>
    <row r="253" spans="1:12" ht="15.75" customHeight="1" x14ac:dyDescent="0.25">
      <c r="A253" s="266">
        <f t="shared" si="96"/>
        <v>0</v>
      </c>
      <c r="B253" s="74" t="s">
        <v>586</v>
      </c>
      <c r="C253" s="75"/>
      <c r="D253" s="76">
        <f t="shared" ref="D253:J253" si="118">B88*$C253*D$172</f>
        <v>0</v>
      </c>
      <c r="E253" s="76">
        <f t="shared" si="118"/>
        <v>0</v>
      </c>
      <c r="F253" s="76">
        <f t="shared" si="118"/>
        <v>0</v>
      </c>
      <c r="G253" s="76">
        <f t="shared" si="118"/>
        <v>0</v>
      </c>
      <c r="H253" s="76">
        <f t="shared" si="118"/>
        <v>0</v>
      </c>
      <c r="I253" s="76">
        <f t="shared" si="118"/>
        <v>0</v>
      </c>
      <c r="J253" s="76">
        <f t="shared" si="118"/>
        <v>0</v>
      </c>
      <c r="K253" s="69"/>
      <c r="L253" s="69"/>
    </row>
    <row r="254" spans="1:12" ht="15.75" customHeight="1" x14ac:dyDescent="0.25">
      <c r="A254" s="74">
        <f t="shared" si="96"/>
        <v>0</v>
      </c>
      <c r="B254" s="74" t="s">
        <v>586</v>
      </c>
      <c r="C254" s="75"/>
      <c r="D254" s="76">
        <f t="shared" ref="D254:J254" si="119">B89*$C254*D$172</f>
        <v>0</v>
      </c>
      <c r="E254" s="76">
        <f t="shared" si="119"/>
        <v>0</v>
      </c>
      <c r="F254" s="76">
        <f t="shared" si="119"/>
        <v>0</v>
      </c>
      <c r="G254" s="76">
        <f t="shared" si="119"/>
        <v>0</v>
      </c>
      <c r="H254" s="76">
        <f t="shared" si="119"/>
        <v>0</v>
      </c>
      <c r="I254" s="76">
        <f t="shared" si="119"/>
        <v>0</v>
      </c>
      <c r="J254" s="76">
        <f t="shared" si="119"/>
        <v>0</v>
      </c>
      <c r="K254" s="69"/>
      <c r="L254" s="69"/>
    </row>
    <row r="255" spans="1:12" ht="15.75" customHeight="1" x14ac:dyDescent="0.25">
      <c r="A255" s="74">
        <f t="shared" ref="A255:A274" si="120">A201</f>
        <v>0</v>
      </c>
      <c r="B255" s="74"/>
      <c r="C255" s="75"/>
      <c r="D255" s="76">
        <f t="shared" ref="D255:J255" si="121">B90*$C255*D$172</f>
        <v>0</v>
      </c>
      <c r="E255" s="76">
        <f t="shared" si="121"/>
        <v>0</v>
      </c>
      <c r="F255" s="76">
        <f t="shared" si="121"/>
        <v>0</v>
      </c>
      <c r="G255" s="76">
        <f t="shared" si="121"/>
        <v>0</v>
      </c>
      <c r="H255" s="76">
        <f t="shared" si="121"/>
        <v>0</v>
      </c>
      <c r="I255" s="76">
        <f t="shared" si="121"/>
        <v>0</v>
      </c>
      <c r="J255" s="76">
        <f t="shared" si="121"/>
        <v>0</v>
      </c>
      <c r="K255" s="69"/>
      <c r="L255" s="69"/>
    </row>
    <row r="256" spans="1:12" ht="15.75" customHeight="1" x14ac:dyDescent="0.25">
      <c r="A256" s="262" t="str">
        <f t="shared" si="120"/>
        <v>Fruit  &amp; Vegetables Crop Production Details</v>
      </c>
      <c r="B256" s="74"/>
      <c r="C256" s="75"/>
      <c r="D256" s="76"/>
      <c r="E256" s="76"/>
      <c r="F256" s="76"/>
      <c r="G256" s="76"/>
      <c r="H256" s="76"/>
      <c r="I256" s="76"/>
      <c r="J256" s="76"/>
      <c r="K256" s="69"/>
      <c r="L256" s="69"/>
    </row>
    <row r="257" spans="1:12" ht="15.75" customHeight="1" x14ac:dyDescent="0.25">
      <c r="A257" s="266" t="str">
        <f t="shared" si="120"/>
        <v>Onion</v>
      </c>
      <c r="B257" s="74" t="s">
        <v>586</v>
      </c>
      <c r="C257" s="75">
        <v>1800</v>
      </c>
      <c r="D257" s="76">
        <f t="shared" ref="D257:J257" si="122">B92*$C257*D$172</f>
        <v>0</v>
      </c>
      <c r="E257" s="76">
        <f t="shared" si="122"/>
        <v>0</v>
      </c>
      <c r="F257" s="76">
        <f t="shared" si="122"/>
        <v>0</v>
      </c>
      <c r="G257" s="76">
        <f t="shared" si="122"/>
        <v>0</v>
      </c>
      <c r="H257" s="76">
        <f t="shared" si="122"/>
        <v>0</v>
      </c>
      <c r="I257" s="76">
        <f t="shared" si="122"/>
        <v>0</v>
      </c>
      <c r="J257" s="76">
        <f t="shared" si="122"/>
        <v>0</v>
      </c>
      <c r="K257" s="69"/>
      <c r="L257" s="69"/>
    </row>
    <row r="258" spans="1:12" ht="15.75" customHeight="1" x14ac:dyDescent="0.25">
      <c r="A258" s="266" t="str">
        <f t="shared" si="120"/>
        <v>Tomato</v>
      </c>
      <c r="B258" s="74" t="s">
        <v>586</v>
      </c>
      <c r="C258" s="75">
        <v>800</v>
      </c>
      <c r="D258" s="76">
        <f t="shared" ref="D258:J258" si="123">B93*$C258*D$172</f>
        <v>0</v>
      </c>
      <c r="E258" s="76">
        <f t="shared" si="123"/>
        <v>0</v>
      </c>
      <c r="F258" s="76">
        <f t="shared" si="123"/>
        <v>0</v>
      </c>
      <c r="G258" s="76">
        <f t="shared" si="123"/>
        <v>0</v>
      </c>
      <c r="H258" s="76">
        <f t="shared" si="123"/>
        <v>0</v>
      </c>
      <c r="I258" s="76">
        <f t="shared" si="123"/>
        <v>0</v>
      </c>
      <c r="J258" s="76">
        <f t="shared" si="123"/>
        <v>0</v>
      </c>
      <c r="K258" s="69"/>
      <c r="L258" s="69"/>
    </row>
    <row r="259" spans="1:12" ht="15.75" customHeight="1" x14ac:dyDescent="0.25">
      <c r="A259" s="266" t="str">
        <f t="shared" si="120"/>
        <v>Okra</v>
      </c>
      <c r="B259" s="74" t="s">
        <v>586</v>
      </c>
      <c r="C259" s="75">
        <v>1300</v>
      </c>
      <c r="D259" s="76">
        <f t="shared" ref="D259:J259" si="124">B94*$C259*D$172</f>
        <v>0</v>
      </c>
      <c r="E259" s="76">
        <f t="shared" si="124"/>
        <v>0</v>
      </c>
      <c r="F259" s="76">
        <f t="shared" si="124"/>
        <v>0</v>
      </c>
      <c r="G259" s="76">
        <f t="shared" si="124"/>
        <v>0</v>
      </c>
      <c r="H259" s="76">
        <f t="shared" si="124"/>
        <v>0</v>
      </c>
      <c r="I259" s="76">
        <f t="shared" si="124"/>
        <v>0</v>
      </c>
      <c r="J259" s="76">
        <f t="shared" si="124"/>
        <v>0</v>
      </c>
      <c r="K259" s="69"/>
      <c r="L259" s="69"/>
    </row>
    <row r="260" spans="1:12" ht="15.75" customHeight="1" x14ac:dyDescent="0.25">
      <c r="A260" s="266" t="str">
        <f t="shared" si="120"/>
        <v>Chilli</v>
      </c>
      <c r="B260" s="74" t="s">
        <v>586</v>
      </c>
      <c r="C260" s="75">
        <v>2800</v>
      </c>
      <c r="D260" s="76">
        <f t="shared" ref="D260:J260" si="125">B95*$C260*D$172</f>
        <v>0</v>
      </c>
      <c r="E260" s="76">
        <f t="shared" si="125"/>
        <v>0</v>
      </c>
      <c r="F260" s="76">
        <f t="shared" si="125"/>
        <v>0</v>
      </c>
      <c r="G260" s="76">
        <f t="shared" si="125"/>
        <v>0</v>
      </c>
      <c r="H260" s="76">
        <f t="shared" si="125"/>
        <v>0</v>
      </c>
      <c r="I260" s="76">
        <f t="shared" si="125"/>
        <v>0</v>
      </c>
      <c r="J260" s="76">
        <f t="shared" si="125"/>
        <v>0</v>
      </c>
      <c r="K260" s="69"/>
      <c r="L260" s="69"/>
    </row>
    <row r="261" spans="1:12" ht="15.75" customHeight="1" x14ac:dyDescent="0.25">
      <c r="A261" s="266" t="str">
        <f t="shared" si="120"/>
        <v>Potato</v>
      </c>
      <c r="B261" s="74" t="s">
        <v>586</v>
      </c>
      <c r="C261" s="75">
        <v>1300</v>
      </c>
      <c r="D261" s="76">
        <f t="shared" ref="D261:J261" si="126">B96*$C261*D$172</f>
        <v>0</v>
      </c>
      <c r="E261" s="76">
        <f t="shared" si="126"/>
        <v>0</v>
      </c>
      <c r="F261" s="76">
        <f t="shared" si="126"/>
        <v>0</v>
      </c>
      <c r="G261" s="76">
        <f t="shared" si="126"/>
        <v>0</v>
      </c>
      <c r="H261" s="76">
        <f t="shared" si="126"/>
        <v>0</v>
      </c>
      <c r="I261" s="76">
        <f t="shared" si="126"/>
        <v>0</v>
      </c>
      <c r="J261" s="76">
        <f t="shared" si="126"/>
        <v>0</v>
      </c>
      <c r="K261" s="69"/>
      <c r="L261" s="69"/>
    </row>
    <row r="262" spans="1:12" ht="15.75" customHeight="1" x14ac:dyDescent="0.25">
      <c r="A262" s="266">
        <f t="shared" si="120"/>
        <v>0</v>
      </c>
      <c r="B262" s="74" t="s">
        <v>586</v>
      </c>
      <c r="C262" s="75"/>
      <c r="D262" s="76">
        <f t="shared" ref="D262:J262" si="127">B97*$C262*D$172</f>
        <v>0</v>
      </c>
      <c r="E262" s="76">
        <f t="shared" si="127"/>
        <v>0</v>
      </c>
      <c r="F262" s="76">
        <f t="shared" si="127"/>
        <v>0</v>
      </c>
      <c r="G262" s="76">
        <f t="shared" si="127"/>
        <v>0</v>
      </c>
      <c r="H262" s="76">
        <f t="shared" si="127"/>
        <v>0</v>
      </c>
      <c r="I262" s="76">
        <f t="shared" si="127"/>
        <v>0</v>
      </c>
      <c r="J262" s="76">
        <f t="shared" si="127"/>
        <v>0</v>
      </c>
      <c r="K262" s="69"/>
      <c r="L262" s="69"/>
    </row>
    <row r="263" spans="1:12" ht="15.75" customHeight="1" x14ac:dyDescent="0.25">
      <c r="A263" s="266">
        <f t="shared" si="120"/>
        <v>0</v>
      </c>
      <c r="B263" s="74" t="s">
        <v>586</v>
      </c>
      <c r="C263" s="75"/>
      <c r="D263" s="76">
        <f t="shared" ref="D263:J263" si="128">B98*$C263*D$172</f>
        <v>0</v>
      </c>
      <c r="E263" s="76">
        <f t="shared" si="128"/>
        <v>0</v>
      </c>
      <c r="F263" s="76">
        <f t="shared" si="128"/>
        <v>0</v>
      </c>
      <c r="G263" s="76">
        <f t="shared" si="128"/>
        <v>0</v>
      </c>
      <c r="H263" s="76">
        <f t="shared" si="128"/>
        <v>0</v>
      </c>
      <c r="I263" s="76">
        <f t="shared" si="128"/>
        <v>0</v>
      </c>
      <c r="J263" s="76">
        <f t="shared" si="128"/>
        <v>0</v>
      </c>
      <c r="K263" s="69"/>
      <c r="L263" s="69"/>
    </row>
    <row r="264" spans="1:12" ht="15.75" customHeight="1" x14ac:dyDescent="0.25">
      <c r="A264" s="266">
        <f t="shared" si="120"/>
        <v>0</v>
      </c>
      <c r="B264" s="74" t="s">
        <v>586</v>
      </c>
      <c r="C264" s="75"/>
      <c r="D264" s="76">
        <f t="shared" ref="D264:J264" si="129">B99*$C264*D$172</f>
        <v>0</v>
      </c>
      <c r="E264" s="76">
        <f t="shared" si="129"/>
        <v>0</v>
      </c>
      <c r="F264" s="76">
        <f t="shared" si="129"/>
        <v>0</v>
      </c>
      <c r="G264" s="76">
        <f t="shared" si="129"/>
        <v>0</v>
      </c>
      <c r="H264" s="76">
        <f t="shared" si="129"/>
        <v>0</v>
      </c>
      <c r="I264" s="76">
        <f t="shared" si="129"/>
        <v>0</v>
      </c>
      <c r="J264" s="76">
        <f t="shared" si="129"/>
        <v>0</v>
      </c>
      <c r="K264" s="69"/>
      <c r="L264" s="69"/>
    </row>
    <row r="265" spans="1:12" ht="15.75" customHeight="1" x14ac:dyDescent="0.25">
      <c r="A265" s="266">
        <f t="shared" si="120"/>
        <v>0</v>
      </c>
      <c r="B265" s="74" t="s">
        <v>586</v>
      </c>
      <c r="C265" s="75"/>
      <c r="D265" s="76">
        <f t="shared" ref="D265:J265" si="130">B100*$C265*D$172</f>
        <v>0</v>
      </c>
      <c r="E265" s="76">
        <f t="shared" si="130"/>
        <v>0</v>
      </c>
      <c r="F265" s="76">
        <f t="shared" si="130"/>
        <v>0</v>
      </c>
      <c r="G265" s="76">
        <f t="shared" si="130"/>
        <v>0</v>
      </c>
      <c r="H265" s="76">
        <f t="shared" si="130"/>
        <v>0</v>
      </c>
      <c r="I265" s="76">
        <f t="shared" si="130"/>
        <v>0</v>
      </c>
      <c r="J265" s="76">
        <f t="shared" si="130"/>
        <v>0</v>
      </c>
      <c r="K265" s="69"/>
      <c r="L265" s="69"/>
    </row>
    <row r="266" spans="1:12" ht="15.75" customHeight="1" x14ac:dyDescent="0.25">
      <c r="A266" s="266" t="str">
        <f t="shared" si="120"/>
        <v>Onion</v>
      </c>
      <c r="B266" s="74" t="s">
        <v>586</v>
      </c>
      <c r="C266" s="75">
        <v>1800</v>
      </c>
      <c r="D266" s="76">
        <f t="shared" ref="D266:J266" si="131">B101*$C266*D$172</f>
        <v>0</v>
      </c>
      <c r="E266" s="76">
        <f t="shared" si="131"/>
        <v>0</v>
      </c>
      <c r="F266" s="76">
        <f t="shared" si="131"/>
        <v>0</v>
      </c>
      <c r="G266" s="76">
        <f t="shared" si="131"/>
        <v>0</v>
      </c>
      <c r="H266" s="76">
        <f t="shared" si="131"/>
        <v>0</v>
      </c>
      <c r="I266" s="76">
        <f t="shared" si="131"/>
        <v>0</v>
      </c>
      <c r="J266" s="76">
        <f t="shared" si="131"/>
        <v>0</v>
      </c>
      <c r="K266" s="69"/>
      <c r="L266" s="69"/>
    </row>
    <row r="267" spans="1:12" ht="15.75" customHeight="1" x14ac:dyDescent="0.25">
      <c r="A267" s="266" t="str">
        <f t="shared" si="120"/>
        <v>Tomato</v>
      </c>
      <c r="B267" s="74" t="s">
        <v>586</v>
      </c>
      <c r="C267" s="75">
        <v>800</v>
      </c>
      <c r="D267" s="76">
        <f t="shared" ref="D267:J267" si="132">B102*$C267*D$172</f>
        <v>0</v>
      </c>
      <c r="E267" s="76">
        <f t="shared" si="132"/>
        <v>0</v>
      </c>
      <c r="F267" s="76">
        <f t="shared" si="132"/>
        <v>0</v>
      </c>
      <c r="G267" s="76">
        <f t="shared" si="132"/>
        <v>0</v>
      </c>
      <c r="H267" s="76">
        <f t="shared" si="132"/>
        <v>0</v>
      </c>
      <c r="I267" s="76">
        <f t="shared" si="132"/>
        <v>0</v>
      </c>
      <c r="J267" s="76">
        <f t="shared" si="132"/>
        <v>0</v>
      </c>
      <c r="K267" s="69"/>
      <c r="L267" s="69"/>
    </row>
    <row r="268" spans="1:12" ht="15.75" customHeight="1" x14ac:dyDescent="0.25">
      <c r="A268" s="266" t="str">
        <f t="shared" si="120"/>
        <v>Okra</v>
      </c>
      <c r="B268" s="74" t="s">
        <v>586</v>
      </c>
      <c r="C268" s="75">
        <v>1300</v>
      </c>
      <c r="D268" s="76">
        <f t="shared" ref="D268:J268" si="133">B103*$C268*D$172</f>
        <v>0</v>
      </c>
      <c r="E268" s="76">
        <f t="shared" si="133"/>
        <v>0</v>
      </c>
      <c r="F268" s="76">
        <f t="shared" si="133"/>
        <v>0</v>
      </c>
      <c r="G268" s="76">
        <f t="shared" si="133"/>
        <v>0</v>
      </c>
      <c r="H268" s="76">
        <f t="shared" si="133"/>
        <v>0</v>
      </c>
      <c r="I268" s="76">
        <f t="shared" si="133"/>
        <v>0</v>
      </c>
      <c r="J268" s="76">
        <f t="shared" si="133"/>
        <v>0</v>
      </c>
      <c r="K268" s="69"/>
      <c r="L268" s="69"/>
    </row>
    <row r="269" spans="1:12" ht="15.75" customHeight="1" x14ac:dyDescent="0.25">
      <c r="A269" s="266" t="str">
        <f t="shared" si="120"/>
        <v>Chilli</v>
      </c>
      <c r="B269" s="74" t="s">
        <v>586</v>
      </c>
      <c r="C269" s="75">
        <v>2800</v>
      </c>
      <c r="D269" s="76">
        <f t="shared" ref="D269:J269" si="134">B104*$C269*D$172</f>
        <v>0</v>
      </c>
      <c r="E269" s="76">
        <f t="shared" si="134"/>
        <v>0</v>
      </c>
      <c r="F269" s="76">
        <f t="shared" si="134"/>
        <v>0</v>
      </c>
      <c r="G269" s="76">
        <f t="shared" si="134"/>
        <v>0</v>
      </c>
      <c r="H269" s="76">
        <f t="shared" si="134"/>
        <v>0</v>
      </c>
      <c r="I269" s="76">
        <f t="shared" si="134"/>
        <v>0</v>
      </c>
      <c r="J269" s="76">
        <f t="shared" si="134"/>
        <v>0</v>
      </c>
      <c r="K269" s="69"/>
      <c r="L269" s="69"/>
    </row>
    <row r="270" spans="1:12" ht="15.75" customHeight="1" x14ac:dyDescent="0.25">
      <c r="A270" s="266" t="str">
        <f t="shared" si="120"/>
        <v>Brinjal</v>
      </c>
      <c r="B270" s="74" t="s">
        <v>586</v>
      </c>
      <c r="C270" s="75">
        <v>1800</v>
      </c>
      <c r="D270" s="76">
        <f t="shared" ref="D270:J270" si="135">B105*$C270*D$172</f>
        <v>0</v>
      </c>
      <c r="E270" s="76">
        <f t="shared" si="135"/>
        <v>0</v>
      </c>
      <c r="F270" s="76">
        <f t="shared" si="135"/>
        <v>0</v>
      </c>
      <c r="G270" s="76">
        <f t="shared" si="135"/>
        <v>0</v>
      </c>
      <c r="H270" s="76">
        <f t="shared" si="135"/>
        <v>0</v>
      </c>
      <c r="I270" s="76">
        <f t="shared" si="135"/>
        <v>0</v>
      </c>
      <c r="J270" s="76">
        <f t="shared" si="135"/>
        <v>0</v>
      </c>
      <c r="K270" s="69"/>
      <c r="L270" s="69"/>
    </row>
    <row r="271" spans="1:12" ht="15.75" customHeight="1" x14ac:dyDescent="0.25">
      <c r="A271" s="266">
        <f t="shared" si="120"/>
        <v>0</v>
      </c>
      <c r="B271" s="74" t="s">
        <v>586</v>
      </c>
      <c r="C271" s="75"/>
      <c r="D271" s="76">
        <f t="shared" ref="D271:J271" si="136">B106*$C271*D$172</f>
        <v>0</v>
      </c>
      <c r="E271" s="76">
        <f t="shared" si="136"/>
        <v>0</v>
      </c>
      <c r="F271" s="76">
        <f t="shared" si="136"/>
        <v>0</v>
      </c>
      <c r="G271" s="76">
        <f t="shared" si="136"/>
        <v>0</v>
      </c>
      <c r="H271" s="76">
        <f t="shared" si="136"/>
        <v>0</v>
      </c>
      <c r="I271" s="76">
        <f t="shared" si="136"/>
        <v>0</v>
      </c>
      <c r="J271" s="76">
        <f t="shared" si="136"/>
        <v>0</v>
      </c>
      <c r="K271" s="69"/>
      <c r="L271" s="69"/>
    </row>
    <row r="272" spans="1:12" ht="15.75" customHeight="1" x14ac:dyDescent="0.25">
      <c r="A272" s="266">
        <f t="shared" si="120"/>
        <v>0</v>
      </c>
      <c r="B272" s="74" t="s">
        <v>586</v>
      </c>
      <c r="C272" s="75"/>
      <c r="D272" s="76">
        <f t="shared" ref="D272:J272" si="137">B107*$C272*D$172</f>
        <v>0</v>
      </c>
      <c r="E272" s="76">
        <f t="shared" si="137"/>
        <v>0</v>
      </c>
      <c r="F272" s="76">
        <f t="shared" si="137"/>
        <v>0</v>
      </c>
      <c r="G272" s="76">
        <f t="shared" si="137"/>
        <v>0</v>
      </c>
      <c r="H272" s="76">
        <f t="shared" si="137"/>
        <v>0</v>
      </c>
      <c r="I272" s="76">
        <f t="shared" si="137"/>
        <v>0</v>
      </c>
      <c r="J272" s="76">
        <f t="shared" si="137"/>
        <v>0</v>
      </c>
      <c r="K272" s="69"/>
      <c r="L272" s="69"/>
    </row>
    <row r="273" spans="1:12" ht="15.75" customHeight="1" x14ac:dyDescent="0.25">
      <c r="A273" s="266">
        <f t="shared" si="120"/>
        <v>0</v>
      </c>
      <c r="B273" s="74" t="s">
        <v>586</v>
      </c>
      <c r="C273" s="75"/>
      <c r="D273" s="76">
        <f t="shared" ref="D273:J273" si="138">B108*$C273*D$172</f>
        <v>0</v>
      </c>
      <c r="E273" s="76">
        <f t="shared" si="138"/>
        <v>0</v>
      </c>
      <c r="F273" s="76">
        <f t="shared" si="138"/>
        <v>0</v>
      </c>
      <c r="G273" s="76">
        <f t="shared" si="138"/>
        <v>0</v>
      </c>
      <c r="H273" s="76">
        <f t="shared" si="138"/>
        <v>0</v>
      </c>
      <c r="I273" s="76">
        <f t="shared" si="138"/>
        <v>0</v>
      </c>
      <c r="J273" s="76">
        <f t="shared" si="138"/>
        <v>0</v>
      </c>
      <c r="K273" s="69"/>
      <c r="L273" s="69"/>
    </row>
    <row r="274" spans="1:12" ht="15.75" customHeight="1" x14ac:dyDescent="0.25">
      <c r="A274" s="266">
        <f t="shared" si="120"/>
        <v>0</v>
      </c>
      <c r="B274" s="74" t="s">
        <v>586</v>
      </c>
      <c r="C274" s="75"/>
      <c r="D274" s="76">
        <f t="shared" ref="D274:J274" si="139">B109*$C274*D$172</f>
        <v>0</v>
      </c>
      <c r="E274" s="76">
        <f t="shared" si="139"/>
        <v>0</v>
      </c>
      <c r="F274" s="76">
        <f t="shared" si="139"/>
        <v>0</v>
      </c>
      <c r="G274" s="76">
        <f t="shared" si="139"/>
        <v>0</v>
      </c>
      <c r="H274" s="76">
        <f t="shared" si="139"/>
        <v>0</v>
      </c>
      <c r="I274" s="76">
        <f t="shared" si="139"/>
        <v>0</v>
      </c>
      <c r="J274" s="76">
        <f t="shared" si="139"/>
        <v>0</v>
      </c>
      <c r="K274" s="69"/>
      <c r="L274" s="69"/>
    </row>
    <row r="275" spans="1:12" ht="15.75" customHeight="1" x14ac:dyDescent="0.25">
      <c r="A275" s="266" t="str">
        <f t="shared" ref="A275:A279" si="140">A224</f>
        <v>Pomegranate</v>
      </c>
      <c r="B275" s="74" t="s">
        <v>586</v>
      </c>
      <c r="C275" s="75">
        <v>4700</v>
      </c>
      <c r="D275" s="76">
        <f t="shared" ref="D275:J275" si="141">B113*$C275*D$172</f>
        <v>0</v>
      </c>
      <c r="E275" s="76">
        <f t="shared" si="141"/>
        <v>0</v>
      </c>
      <c r="F275" s="76">
        <f t="shared" si="141"/>
        <v>0</v>
      </c>
      <c r="G275" s="76">
        <f t="shared" si="141"/>
        <v>0</v>
      </c>
      <c r="H275" s="76">
        <f t="shared" si="141"/>
        <v>0</v>
      </c>
      <c r="I275" s="76">
        <f t="shared" si="141"/>
        <v>0</v>
      </c>
      <c r="J275" s="76">
        <f t="shared" si="141"/>
        <v>0</v>
      </c>
      <c r="K275" s="69"/>
      <c r="L275" s="69"/>
    </row>
    <row r="276" spans="1:12" ht="15.75" customHeight="1" x14ac:dyDescent="0.25">
      <c r="A276" s="266" t="str">
        <f t="shared" si="140"/>
        <v>Custard Apple</v>
      </c>
      <c r="B276" s="74" t="s">
        <v>586</v>
      </c>
      <c r="C276" s="75"/>
      <c r="D276" s="76">
        <f t="shared" ref="D276:J276" si="142">B114*$C276*D$172</f>
        <v>0</v>
      </c>
      <c r="E276" s="76">
        <f t="shared" si="142"/>
        <v>0</v>
      </c>
      <c r="F276" s="76">
        <f t="shared" si="142"/>
        <v>0</v>
      </c>
      <c r="G276" s="76">
        <f t="shared" si="142"/>
        <v>0</v>
      </c>
      <c r="H276" s="76">
        <f t="shared" si="142"/>
        <v>0</v>
      </c>
      <c r="I276" s="76">
        <f t="shared" si="142"/>
        <v>0</v>
      </c>
      <c r="J276" s="76">
        <f t="shared" si="142"/>
        <v>0</v>
      </c>
      <c r="K276" s="69"/>
      <c r="L276" s="69"/>
    </row>
    <row r="277" spans="1:12" ht="15.75" customHeight="1" x14ac:dyDescent="0.25">
      <c r="A277" s="266" t="str">
        <f t="shared" si="140"/>
        <v>Guava</v>
      </c>
      <c r="B277" s="74" t="s">
        <v>586</v>
      </c>
      <c r="C277" s="75"/>
      <c r="D277" s="76">
        <f t="shared" ref="D277:J277" si="143">B115*$C277*D$172</f>
        <v>0</v>
      </c>
      <c r="E277" s="76">
        <f t="shared" si="143"/>
        <v>0</v>
      </c>
      <c r="F277" s="76">
        <f t="shared" si="143"/>
        <v>0</v>
      </c>
      <c r="G277" s="76">
        <f t="shared" si="143"/>
        <v>0</v>
      </c>
      <c r="H277" s="76">
        <f t="shared" si="143"/>
        <v>0</v>
      </c>
      <c r="I277" s="76">
        <f t="shared" si="143"/>
        <v>0</v>
      </c>
      <c r="J277" s="76">
        <f t="shared" si="143"/>
        <v>0</v>
      </c>
      <c r="K277" s="69"/>
      <c r="L277" s="69"/>
    </row>
    <row r="278" spans="1:12" ht="15.75" customHeight="1" x14ac:dyDescent="0.25">
      <c r="A278" s="266" t="str">
        <f t="shared" si="140"/>
        <v>Citrus</v>
      </c>
      <c r="B278" s="74" t="s">
        <v>586</v>
      </c>
      <c r="C278" s="75"/>
      <c r="D278" s="76">
        <f t="shared" ref="D278:J278" si="144">B116*$C278*D$172</f>
        <v>0</v>
      </c>
      <c r="E278" s="76">
        <f t="shared" si="144"/>
        <v>0</v>
      </c>
      <c r="F278" s="76">
        <f t="shared" si="144"/>
        <v>0</v>
      </c>
      <c r="G278" s="76">
        <f t="shared" si="144"/>
        <v>0</v>
      </c>
      <c r="H278" s="76">
        <f t="shared" si="144"/>
        <v>0</v>
      </c>
      <c r="I278" s="76">
        <f t="shared" si="144"/>
        <v>0</v>
      </c>
      <c r="J278" s="76">
        <f t="shared" si="144"/>
        <v>0</v>
      </c>
      <c r="K278" s="69"/>
      <c r="L278" s="69"/>
    </row>
    <row r="279" spans="1:12" ht="15.75" customHeight="1" x14ac:dyDescent="0.25">
      <c r="A279" s="74">
        <f t="shared" si="140"/>
        <v>0</v>
      </c>
      <c r="B279" s="74" t="s">
        <v>586</v>
      </c>
      <c r="C279" s="75"/>
      <c r="D279" s="76">
        <f t="shared" ref="D279:J279" si="145">B117*$C279*D$172</f>
        <v>0</v>
      </c>
      <c r="E279" s="76">
        <f t="shared" si="145"/>
        <v>0</v>
      </c>
      <c r="F279" s="76">
        <f t="shared" si="145"/>
        <v>0</v>
      </c>
      <c r="G279" s="76">
        <f t="shared" si="145"/>
        <v>0</v>
      </c>
      <c r="H279" s="76">
        <f t="shared" si="145"/>
        <v>0</v>
      </c>
      <c r="I279" s="76">
        <f t="shared" si="145"/>
        <v>0</v>
      </c>
      <c r="J279" s="76">
        <f t="shared" si="145"/>
        <v>0</v>
      </c>
      <c r="K279" s="69"/>
      <c r="L279" s="69"/>
    </row>
    <row r="280" spans="1:12" ht="15.75" customHeight="1" x14ac:dyDescent="0.25">
      <c r="A280" s="74">
        <f>A230</f>
        <v>0</v>
      </c>
      <c r="B280" s="74"/>
      <c r="C280" s="75"/>
      <c r="D280" s="76">
        <f t="shared" ref="D280:J280" si="146">B118*$C280*D$172</f>
        <v>0</v>
      </c>
      <c r="E280" s="76">
        <f t="shared" si="146"/>
        <v>0</v>
      </c>
      <c r="F280" s="76">
        <f t="shared" si="146"/>
        <v>0</v>
      </c>
      <c r="G280" s="76">
        <f t="shared" si="146"/>
        <v>0</v>
      </c>
      <c r="H280" s="76">
        <f t="shared" si="146"/>
        <v>0</v>
      </c>
      <c r="I280" s="76">
        <f t="shared" si="146"/>
        <v>0</v>
      </c>
      <c r="J280" s="76">
        <f t="shared" si="146"/>
        <v>0</v>
      </c>
      <c r="K280" s="69"/>
      <c r="L280" s="69"/>
    </row>
    <row r="281" spans="1:12" ht="15.75" customHeight="1" x14ac:dyDescent="0.25">
      <c r="A281" s="74"/>
      <c r="B281" s="74"/>
      <c r="C281" s="75"/>
      <c r="D281" s="76"/>
      <c r="E281" s="76"/>
      <c r="F281" s="76"/>
      <c r="G281" s="76"/>
      <c r="H281" s="76"/>
      <c r="I281" s="76"/>
      <c r="J281" s="76"/>
      <c r="K281" s="69"/>
      <c r="L281" s="69"/>
    </row>
    <row r="282" spans="1:12" ht="15.75" customHeight="1" x14ac:dyDescent="0.25">
      <c r="A282" s="74" t="s">
        <v>589</v>
      </c>
      <c r="B282" s="50">
        <v>5</v>
      </c>
      <c r="C282" s="50">
        <v>300</v>
      </c>
      <c r="D282" s="76">
        <f>B10*$B$282*$C$282*D172</f>
        <v>9187.5</v>
      </c>
      <c r="E282" s="76">
        <f t="shared" ref="E282:J282" si="147">C10*$B$282*$C$282*E172</f>
        <v>12058.59375</v>
      </c>
      <c r="F282" s="76">
        <f t="shared" si="147"/>
        <v>15193.828125</v>
      </c>
      <c r="G282" s="76">
        <f t="shared" si="147"/>
        <v>18612.439453125004</v>
      </c>
      <c r="H282" s="76">
        <f t="shared" si="147"/>
        <v>22334.927343750001</v>
      </c>
      <c r="I282" s="76">
        <f t="shared" si="147"/>
        <v>26383.132924804693</v>
      </c>
      <c r="J282" s="76">
        <f t="shared" si="147"/>
        <v>30780.321745605477</v>
      </c>
      <c r="K282" s="69"/>
      <c r="L282" s="69"/>
    </row>
    <row r="283" spans="1:12" ht="15.75" customHeight="1" x14ac:dyDescent="0.25">
      <c r="A283" s="74" t="s">
        <v>590</v>
      </c>
      <c r="B283" s="74">
        <f>'2.Capex Details'!H65*0.746*8</f>
        <v>0</v>
      </c>
      <c r="C283" s="50">
        <v>8</v>
      </c>
      <c r="D283" s="76">
        <f t="shared" ref="D283:J283" si="148">$B$283*$C$283*D172*B10</f>
        <v>0</v>
      </c>
      <c r="E283" s="76">
        <f t="shared" si="148"/>
        <v>0</v>
      </c>
      <c r="F283" s="76">
        <f t="shared" si="148"/>
        <v>0</v>
      </c>
      <c r="G283" s="76">
        <f t="shared" si="148"/>
        <v>0</v>
      </c>
      <c r="H283" s="76">
        <f t="shared" si="148"/>
        <v>0</v>
      </c>
      <c r="I283" s="76">
        <f t="shared" si="148"/>
        <v>0</v>
      </c>
      <c r="J283" s="76">
        <f t="shared" si="148"/>
        <v>0</v>
      </c>
      <c r="K283" s="69"/>
      <c r="L283" s="69"/>
    </row>
    <row r="284" spans="1:12" ht="15.75" customHeight="1" x14ac:dyDescent="0.25">
      <c r="A284" s="74" t="s">
        <v>591</v>
      </c>
      <c r="B284" s="74"/>
      <c r="C284" s="50">
        <v>30</v>
      </c>
      <c r="D284" s="76">
        <f>SUM(B120:B141)*$C$284*D172</f>
        <v>14259</v>
      </c>
      <c r="E284" s="76">
        <f t="shared" ref="E284:J284" si="149">SUM(C120:C141)*$C$284*E172</f>
        <v>18714.9375</v>
      </c>
      <c r="F284" s="76">
        <f t="shared" si="149"/>
        <v>23580.821250000001</v>
      </c>
      <c r="G284" s="76">
        <f t="shared" si="149"/>
        <v>28886.506031250003</v>
      </c>
      <c r="H284" s="76">
        <f t="shared" si="149"/>
        <v>34663.807237500005</v>
      </c>
      <c r="I284" s="76">
        <f t="shared" si="149"/>
        <v>40946.622299296883</v>
      </c>
      <c r="J284" s="76">
        <f t="shared" si="149"/>
        <v>47771.059349179704</v>
      </c>
      <c r="K284" s="69"/>
      <c r="L284" s="69"/>
    </row>
    <row r="285" spans="1:12" ht="15.75" customHeight="1" x14ac:dyDescent="0.25">
      <c r="A285" s="74" t="s">
        <v>592</v>
      </c>
      <c r="B285" s="74"/>
      <c r="C285" s="50">
        <v>30</v>
      </c>
      <c r="D285" s="76">
        <f t="shared" ref="D285:J285" si="150">SUM(B120:B141)*$C$285*D172</f>
        <v>14259</v>
      </c>
      <c r="E285" s="76">
        <f t="shared" si="150"/>
        <v>18714.9375</v>
      </c>
      <c r="F285" s="76">
        <f t="shared" si="150"/>
        <v>23580.821250000001</v>
      </c>
      <c r="G285" s="76">
        <f t="shared" si="150"/>
        <v>28886.506031250003</v>
      </c>
      <c r="H285" s="76">
        <f t="shared" si="150"/>
        <v>34663.807237500005</v>
      </c>
      <c r="I285" s="76">
        <f t="shared" si="150"/>
        <v>40946.622299296883</v>
      </c>
      <c r="J285" s="76">
        <f t="shared" si="150"/>
        <v>47771.059349179704</v>
      </c>
      <c r="K285" s="69"/>
      <c r="L285" s="69"/>
    </row>
    <row r="286" spans="1:12" ht="15.75" customHeight="1" x14ac:dyDescent="0.25">
      <c r="A286" s="134"/>
      <c r="B286" s="134"/>
      <c r="C286" s="134"/>
      <c r="D286" s="134"/>
      <c r="E286" s="134"/>
      <c r="F286" s="134"/>
      <c r="G286" s="134"/>
      <c r="H286" s="134"/>
      <c r="I286" s="134"/>
      <c r="J286" s="134"/>
      <c r="K286" s="69"/>
      <c r="L286" s="69"/>
    </row>
    <row r="287" spans="1:12" ht="15.75" customHeight="1" x14ac:dyDescent="0.25">
      <c r="A287" s="134"/>
      <c r="B287" s="134"/>
      <c r="C287" s="134"/>
      <c r="D287" s="134"/>
      <c r="E287" s="134"/>
      <c r="F287" s="134"/>
      <c r="G287" s="134"/>
      <c r="H287" s="134"/>
      <c r="I287" s="134"/>
      <c r="J287" s="134"/>
      <c r="K287" s="69"/>
      <c r="L287" s="69"/>
    </row>
    <row r="288" spans="1:12" ht="15.75" customHeight="1" x14ac:dyDescent="0.25">
      <c r="A288" s="134"/>
      <c r="B288" s="134"/>
      <c r="C288" s="134"/>
      <c r="D288" s="134"/>
      <c r="E288" s="134"/>
      <c r="F288" s="134"/>
      <c r="G288" s="134"/>
      <c r="H288" s="134"/>
      <c r="I288" s="134"/>
      <c r="J288" s="134"/>
      <c r="K288" s="69"/>
      <c r="L288" s="69"/>
    </row>
    <row r="289" spans="1:20" ht="15.75" customHeight="1" x14ac:dyDescent="0.25">
      <c r="A289" s="74" t="s">
        <v>593</v>
      </c>
      <c r="B289" s="74"/>
      <c r="C289" s="74"/>
      <c r="D289" s="266"/>
      <c r="E289" s="266">
        <f>'5.Closing Stock &amp; W Capital'!F7</f>
        <v>209422.32500000001</v>
      </c>
      <c r="F289" s="266">
        <f>'5.Closing Stock &amp; W Capital'!G7</f>
        <v>274866.80156250001</v>
      </c>
      <c r="G289" s="266">
        <f>'5.Closing Stock &amp; W Capital'!H7</f>
        <v>346332.16996875004</v>
      </c>
      <c r="H289" s="266">
        <f>'5.Closing Stock &amp; W Capital'!I7</f>
        <v>424256.90821171878</v>
      </c>
      <c r="I289" s="266">
        <f>'5.Closing Stock &amp; W Capital'!J7</f>
        <v>509108.28985406255</v>
      </c>
      <c r="J289" s="266">
        <f>'5.Closing Stock &amp; W Capital'!K7</f>
        <v>601384.16739011148</v>
      </c>
      <c r="K289" s="69"/>
      <c r="L289" s="69"/>
    </row>
    <row r="290" spans="1:20" ht="15.75" customHeight="1" x14ac:dyDescent="0.25">
      <c r="A290" s="74" t="s">
        <v>594</v>
      </c>
      <c r="B290" s="74"/>
      <c r="C290" s="266"/>
      <c r="D290" s="266">
        <f>'5.Closing Stock &amp; W Capital'!E16</f>
        <v>209422.32500000001</v>
      </c>
      <c r="E290" s="266">
        <f>'5.Closing Stock &amp; W Capital'!F16</f>
        <v>274866.80156250001</v>
      </c>
      <c r="F290" s="266">
        <f>'5.Closing Stock &amp; W Capital'!G16</f>
        <v>346332.16996875004</v>
      </c>
      <c r="G290" s="266">
        <f>'5.Closing Stock &amp; W Capital'!H16</f>
        <v>424256.90821171878</v>
      </c>
      <c r="H290" s="266">
        <f>'5.Closing Stock &amp; W Capital'!I16</f>
        <v>509108.28985406255</v>
      </c>
      <c r="I290" s="266">
        <f>'5.Closing Stock &amp; W Capital'!J16</f>
        <v>601384.16739011148</v>
      </c>
      <c r="J290" s="266">
        <f>'5.Closing Stock &amp; W Capital'!K16</f>
        <v>701614.86195513012</v>
      </c>
      <c r="K290" s="69"/>
      <c r="L290" s="69"/>
    </row>
    <row r="291" spans="1:20" ht="15.75" customHeight="1" x14ac:dyDescent="0.25">
      <c r="A291" s="74"/>
      <c r="B291" s="74"/>
      <c r="C291" s="76"/>
      <c r="D291" s="266"/>
      <c r="E291" s="266"/>
      <c r="F291" s="266"/>
      <c r="G291" s="266"/>
      <c r="H291" s="266"/>
      <c r="I291" s="266"/>
      <c r="J291" s="266"/>
      <c r="K291" s="69"/>
      <c r="L291" s="69"/>
      <c r="M291" s="69"/>
      <c r="N291" s="69"/>
      <c r="O291" s="69"/>
      <c r="P291" s="69"/>
      <c r="Q291" s="69"/>
      <c r="R291" s="69"/>
      <c r="S291" s="69"/>
      <c r="T291" s="69"/>
    </row>
    <row r="292" spans="1:20" ht="15.75" customHeight="1" x14ac:dyDescent="0.25">
      <c r="A292" s="77" t="s">
        <v>356</v>
      </c>
      <c r="B292" s="77"/>
      <c r="C292" s="77"/>
      <c r="D292" s="78">
        <f t="shared" ref="D292:J292" si="151">SUM(D233:D289)-D290</f>
        <v>3993283.1749999998</v>
      </c>
      <c r="E292" s="78">
        <f t="shared" si="151"/>
        <v>5450606.4921875</v>
      </c>
      <c r="F292" s="78">
        <f t="shared" si="151"/>
        <v>6878758.8522187499</v>
      </c>
      <c r="G292" s="78">
        <f t="shared" si="151"/>
        <v>8436099.9320226572</v>
      </c>
      <c r="H292" s="78">
        <f t="shared" si="151"/>
        <v>10131978.222676408</v>
      </c>
      <c r="I292" s="78">
        <f t="shared" si="151"/>
        <v>11976354.092565477</v>
      </c>
      <c r="J292" s="78">
        <f t="shared" si="151"/>
        <v>13979837.603886763</v>
      </c>
      <c r="K292" s="69"/>
      <c r="L292" s="69"/>
      <c r="M292" s="69"/>
      <c r="N292" s="69"/>
      <c r="O292" s="69"/>
      <c r="P292" s="69"/>
      <c r="Q292" s="69"/>
      <c r="R292" s="69"/>
      <c r="S292" s="69"/>
      <c r="T292" s="69"/>
    </row>
    <row r="293" spans="1:20" ht="15.75" customHeight="1" x14ac:dyDescent="0.25">
      <c r="A293" s="77" t="s">
        <v>357</v>
      </c>
      <c r="B293" s="74"/>
      <c r="C293" s="74"/>
      <c r="D293" s="211"/>
      <c r="E293" s="211"/>
      <c r="F293" s="211"/>
      <c r="G293" s="211"/>
      <c r="H293" s="211"/>
      <c r="I293" s="74"/>
      <c r="J293" s="74"/>
      <c r="K293" s="69"/>
      <c r="L293" s="69"/>
      <c r="M293" s="69"/>
      <c r="N293" s="69"/>
      <c r="O293" s="69"/>
      <c r="P293" s="69"/>
      <c r="Q293" s="69"/>
      <c r="R293" s="69"/>
      <c r="S293" s="69"/>
      <c r="T293" s="69"/>
    </row>
    <row r="294" spans="1:20" ht="15.75" customHeight="1" x14ac:dyDescent="0.25">
      <c r="A294" s="74" t="s">
        <v>595</v>
      </c>
      <c r="B294" s="50">
        <v>1</v>
      </c>
      <c r="C294" s="75"/>
      <c r="D294" s="76">
        <f t="shared" ref="D294:J294" si="152">$B$294*$C$294*12*D172</f>
        <v>0</v>
      </c>
      <c r="E294" s="76">
        <f t="shared" si="152"/>
        <v>0</v>
      </c>
      <c r="F294" s="76">
        <f t="shared" si="152"/>
        <v>0</v>
      </c>
      <c r="G294" s="76">
        <f t="shared" si="152"/>
        <v>0</v>
      </c>
      <c r="H294" s="76">
        <f t="shared" si="152"/>
        <v>0</v>
      </c>
      <c r="I294" s="76">
        <f t="shared" si="152"/>
        <v>0</v>
      </c>
      <c r="J294" s="76">
        <f t="shared" si="152"/>
        <v>0</v>
      </c>
      <c r="K294" s="69"/>
      <c r="L294" s="69"/>
      <c r="M294" s="69"/>
      <c r="N294" s="69"/>
      <c r="O294" s="69"/>
      <c r="P294" s="69"/>
      <c r="Q294" s="69"/>
      <c r="R294" s="69"/>
      <c r="S294" s="69"/>
      <c r="T294" s="69"/>
    </row>
    <row r="295" spans="1:20" ht="15.75" customHeight="1" x14ac:dyDescent="0.25">
      <c r="A295" s="74"/>
      <c r="B295" s="50"/>
      <c r="C295" s="75"/>
      <c r="D295" s="76"/>
      <c r="E295" s="76"/>
      <c r="F295" s="76"/>
      <c r="G295" s="76"/>
      <c r="H295" s="76"/>
      <c r="I295" s="76"/>
      <c r="J295" s="76"/>
      <c r="K295" s="69"/>
      <c r="L295" s="69"/>
      <c r="M295" s="69"/>
      <c r="N295" s="271"/>
      <c r="O295" s="69"/>
      <c r="P295" s="69"/>
      <c r="Q295" s="69"/>
      <c r="R295" s="69"/>
      <c r="S295" s="69"/>
      <c r="T295" s="69"/>
    </row>
    <row r="296" spans="1:20" ht="15.75" customHeight="1" x14ac:dyDescent="0.25">
      <c r="A296" s="74"/>
      <c r="B296" s="50"/>
      <c r="C296" s="75"/>
      <c r="D296" s="76"/>
      <c r="E296" s="76"/>
      <c r="F296" s="76"/>
      <c r="G296" s="76"/>
      <c r="H296" s="76"/>
      <c r="I296" s="76"/>
      <c r="J296" s="76"/>
      <c r="K296" s="69"/>
      <c r="L296" s="69"/>
      <c r="M296" s="69"/>
      <c r="N296" s="69"/>
      <c r="O296" s="69"/>
      <c r="P296" s="69"/>
      <c r="Q296" s="69"/>
      <c r="R296" s="69"/>
      <c r="S296" s="69"/>
      <c r="T296" s="69"/>
    </row>
    <row r="297" spans="1:20" ht="15.75" customHeight="1" x14ac:dyDescent="0.25">
      <c r="A297" s="74"/>
      <c r="B297" s="50"/>
      <c r="C297" s="75"/>
      <c r="D297" s="76"/>
      <c r="E297" s="76"/>
      <c r="F297" s="76"/>
      <c r="G297" s="76"/>
      <c r="H297" s="76"/>
      <c r="I297" s="76"/>
      <c r="J297" s="76"/>
      <c r="K297" s="69"/>
      <c r="L297" s="69"/>
      <c r="M297" s="69"/>
      <c r="N297" s="69"/>
      <c r="O297" s="69"/>
      <c r="P297" s="69"/>
      <c r="Q297" s="69"/>
      <c r="R297" s="69"/>
      <c r="S297" s="69"/>
      <c r="T297" s="69"/>
    </row>
    <row r="298" spans="1:20" ht="15.75" customHeight="1" x14ac:dyDescent="0.25">
      <c r="A298" s="74"/>
      <c r="B298" s="50"/>
      <c r="C298" s="75"/>
      <c r="D298" s="76"/>
      <c r="E298" s="76"/>
      <c r="F298" s="76"/>
      <c r="G298" s="76"/>
      <c r="H298" s="76"/>
      <c r="I298" s="76"/>
      <c r="J298" s="76"/>
      <c r="K298" s="69"/>
      <c r="L298" s="69"/>
      <c r="M298" s="69"/>
      <c r="N298" s="69"/>
      <c r="O298" s="69"/>
      <c r="P298" s="69"/>
      <c r="Q298" s="69"/>
      <c r="R298" s="69"/>
      <c r="S298" s="69"/>
      <c r="T298" s="69"/>
    </row>
    <row r="299" spans="1:20" ht="15.75" customHeight="1" x14ac:dyDescent="0.25">
      <c r="A299" s="74"/>
      <c r="B299" s="50"/>
      <c r="C299" s="75"/>
      <c r="D299" s="76"/>
      <c r="E299" s="76"/>
      <c r="F299" s="76"/>
      <c r="G299" s="76"/>
      <c r="H299" s="76"/>
      <c r="I299" s="76"/>
      <c r="J299" s="76"/>
      <c r="K299" s="69"/>
      <c r="L299" s="69"/>
      <c r="M299" s="69"/>
      <c r="N299" s="69"/>
      <c r="O299" s="69"/>
      <c r="P299" s="69"/>
      <c r="Q299" s="69"/>
      <c r="R299" s="69"/>
      <c r="S299" s="69"/>
      <c r="T299" s="69"/>
    </row>
    <row r="300" spans="1:20" ht="15.75" customHeight="1" x14ac:dyDescent="0.25">
      <c r="A300" s="74"/>
      <c r="B300" s="50"/>
      <c r="C300" s="75"/>
      <c r="D300" s="76"/>
      <c r="E300" s="76"/>
      <c r="F300" s="76"/>
      <c r="G300" s="76"/>
      <c r="H300" s="76"/>
      <c r="I300" s="76"/>
      <c r="J300" s="76"/>
      <c r="K300" s="69"/>
      <c r="L300" s="69"/>
      <c r="M300" s="69"/>
      <c r="N300" s="69"/>
      <c r="O300" s="69"/>
      <c r="P300" s="69"/>
      <c r="Q300" s="69"/>
      <c r="R300" s="69"/>
      <c r="S300" s="69"/>
      <c r="T300" s="69"/>
    </row>
    <row r="301" spans="1:20" ht="15.75" customHeight="1" x14ac:dyDescent="0.25">
      <c r="A301" s="77" t="s">
        <v>359</v>
      </c>
      <c r="B301" s="55"/>
      <c r="C301" s="55"/>
      <c r="D301" s="78">
        <f t="shared" ref="D301:J301" si="153">SUM(D294:D300)</f>
        <v>0</v>
      </c>
      <c r="E301" s="78">
        <f t="shared" si="153"/>
        <v>0</v>
      </c>
      <c r="F301" s="78">
        <f t="shared" si="153"/>
        <v>0</v>
      </c>
      <c r="G301" s="78">
        <f t="shared" si="153"/>
        <v>0</v>
      </c>
      <c r="H301" s="78">
        <f t="shared" si="153"/>
        <v>0</v>
      </c>
      <c r="I301" s="78">
        <f t="shared" si="153"/>
        <v>0</v>
      </c>
      <c r="J301" s="78">
        <f t="shared" si="153"/>
        <v>0</v>
      </c>
      <c r="K301" s="69"/>
      <c r="L301" s="69"/>
      <c r="M301" s="69"/>
      <c r="N301" s="271"/>
      <c r="O301" s="69"/>
      <c r="P301" s="69"/>
      <c r="Q301" s="69"/>
      <c r="R301" s="69"/>
      <c r="S301" s="69"/>
      <c r="T301" s="69"/>
    </row>
    <row r="302" spans="1:20" ht="15.75" customHeight="1" x14ac:dyDescent="0.25">
      <c r="A302" s="77" t="s">
        <v>596</v>
      </c>
      <c r="B302" s="77"/>
      <c r="C302" s="77"/>
      <c r="D302" s="78">
        <f t="shared" ref="D302:J302" si="154">D292+D301</f>
        <v>3993283.1749999998</v>
      </c>
      <c r="E302" s="78">
        <f t="shared" si="154"/>
        <v>5450606.4921875</v>
      </c>
      <c r="F302" s="78">
        <f t="shared" si="154"/>
        <v>6878758.8522187499</v>
      </c>
      <c r="G302" s="78">
        <f t="shared" si="154"/>
        <v>8436099.9320226572</v>
      </c>
      <c r="H302" s="78">
        <f t="shared" si="154"/>
        <v>10131978.222676408</v>
      </c>
      <c r="I302" s="78">
        <f t="shared" si="154"/>
        <v>11976354.092565477</v>
      </c>
      <c r="J302" s="78">
        <f t="shared" si="154"/>
        <v>13979837.603886763</v>
      </c>
      <c r="K302" s="69"/>
      <c r="L302" s="69"/>
      <c r="M302" s="69"/>
      <c r="N302" s="69"/>
      <c r="O302" s="69"/>
      <c r="P302" s="69"/>
      <c r="Q302" s="69"/>
      <c r="R302" s="69"/>
      <c r="S302" s="69"/>
      <c r="T302" s="69"/>
    </row>
    <row r="303" spans="1:20" ht="15.75" customHeight="1" x14ac:dyDescent="0.25">
      <c r="A303" s="74"/>
      <c r="B303" s="74"/>
      <c r="C303" s="74"/>
      <c r="D303" s="211"/>
      <c r="E303" s="211"/>
      <c r="F303" s="211"/>
      <c r="G303" s="211"/>
      <c r="H303" s="211"/>
      <c r="I303" s="74"/>
      <c r="J303" s="74"/>
      <c r="K303" s="69"/>
      <c r="L303" s="69"/>
      <c r="M303" s="69"/>
      <c r="N303" s="69"/>
      <c r="O303" s="69"/>
      <c r="P303" s="69"/>
      <c r="Q303" s="69"/>
      <c r="R303" s="69"/>
      <c r="S303" s="69"/>
      <c r="T303" s="69"/>
    </row>
    <row r="304" spans="1:20" ht="15.75" customHeight="1" x14ac:dyDescent="0.25">
      <c r="A304" s="77"/>
      <c r="B304" s="77"/>
      <c r="C304" s="77"/>
      <c r="D304" s="211"/>
      <c r="E304" s="211"/>
      <c r="F304" s="211"/>
      <c r="G304" s="211"/>
      <c r="H304" s="211"/>
      <c r="I304" s="74"/>
      <c r="J304" s="74"/>
      <c r="K304" s="69"/>
      <c r="L304" s="69"/>
      <c r="M304" s="69"/>
      <c r="N304" s="69"/>
      <c r="O304" s="69"/>
      <c r="P304" s="69"/>
      <c r="Q304" s="69"/>
      <c r="R304" s="69"/>
      <c r="S304" s="69"/>
      <c r="T304" s="69"/>
    </row>
    <row r="305" spans="1:20" ht="15.75" customHeight="1" x14ac:dyDescent="0.25">
      <c r="A305" s="77" t="s">
        <v>597</v>
      </c>
      <c r="B305" s="77"/>
      <c r="C305" s="77"/>
      <c r="D305" s="78">
        <f t="shared" ref="D305:J305" si="155">D229-D302</f>
        <v>95031.824999999721</v>
      </c>
      <c r="E305" s="78">
        <f t="shared" si="155"/>
        <v>139886.19531249907</v>
      </c>
      <c r="F305" s="78">
        <f t="shared" si="155"/>
        <v>177052.34465625044</v>
      </c>
      <c r="G305" s="78">
        <f t="shared" si="155"/>
        <v>217585.39344609343</v>
      </c>
      <c r="H305" s="78">
        <f t="shared" si="155"/>
        <v>261729.11625327915</v>
      </c>
      <c r="I305" s="78">
        <f t="shared" si="155"/>
        <v>309743.24785757065</v>
      </c>
      <c r="J305" s="78">
        <f t="shared" si="155"/>
        <v>361904.46983166039</v>
      </c>
      <c r="K305" s="69"/>
      <c r="L305" s="69"/>
      <c r="M305" s="69"/>
      <c r="N305" s="69"/>
      <c r="O305" s="69"/>
      <c r="P305" s="69"/>
      <c r="Q305" s="69"/>
      <c r="R305" s="69"/>
      <c r="S305" s="69"/>
      <c r="T305" s="69"/>
    </row>
    <row r="306" spans="1:20" ht="15.75" customHeight="1" x14ac:dyDescent="0.25">
      <c r="A306" s="69"/>
      <c r="B306" s="69"/>
      <c r="C306" s="69"/>
      <c r="D306" s="69"/>
      <c r="E306" s="69"/>
      <c r="F306" s="69"/>
      <c r="G306" s="69"/>
      <c r="H306" s="69"/>
      <c r="I306" s="69"/>
      <c r="J306" s="69"/>
    </row>
    <row r="307" spans="1:20" ht="15.75" customHeight="1" x14ac:dyDescent="0.25">
      <c r="A307" s="69" t="s">
        <v>598</v>
      </c>
      <c r="B307" s="69"/>
      <c r="C307" s="69"/>
      <c r="D307" s="69"/>
      <c r="E307" s="69"/>
      <c r="F307" s="69"/>
      <c r="G307" s="69"/>
      <c r="H307" s="69"/>
      <c r="I307" s="69"/>
      <c r="J307" s="69"/>
    </row>
    <row r="308" spans="1:20" ht="15.75" customHeight="1" x14ac:dyDescent="0.25">
      <c r="A308" s="356" t="s">
        <v>599</v>
      </c>
      <c r="B308" s="338"/>
      <c r="C308" s="338"/>
      <c r="D308" s="338"/>
      <c r="E308" s="338"/>
      <c r="F308" s="338"/>
      <c r="G308" s="338"/>
      <c r="H308" s="338"/>
      <c r="I308" s="338"/>
      <c r="J308" s="338"/>
    </row>
    <row r="309" spans="1:20" ht="15.75" customHeight="1" x14ac:dyDescent="0.25"/>
    <row r="310" spans="1:20" ht="15.75" customHeight="1" x14ac:dyDescent="0.25">
      <c r="A310" t="s">
        <v>312</v>
      </c>
    </row>
    <row r="311" spans="1:20" ht="15.75" customHeight="1" x14ac:dyDescent="0.25">
      <c r="A311">
        <v>1</v>
      </c>
      <c r="B311" t="s">
        <v>600</v>
      </c>
    </row>
    <row r="312" spans="1:20" ht="15.75" customHeight="1" x14ac:dyDescent="0.25">
      <c r="A312">
        <v>2</v>
      </c>
      <c r="B312" t="s">
        <v>601</v>
      </c>
    </row>
    <row r="313" spans="1:20" ht="15.75" customHeight="1" x14ac:dyDescent="0.25">
      <c r="A313">
        <v>3</v>
      </c>
      <c r="B313" s="69" t="s">
        <v>602</v>
      </c>
    </row>
  </sheetData>
  <mergeCells count="5">
    <mergeCell ref="A170:J170"/>
    <mergeCell ref="A2:H2"/>
    <mergeCell ref="A308:J308"/>
    <mergeCell ref="F4:H4"/>
    <mergeCell ref="A3:H3"/>
  </mergeCells>
  <printOptions horizontalCentered="1"/>
  <pageMargins left="0.23622047244094491" right="0.23622047244094491" top="0.74803149606299213" bottom="0.74803149606299213" header="0.31496062992125984" footer="0.31496062992125984"/>
  <pageSetup paperSize="9" scale="75" fitToHeight="0" orientation="landscape" r:id="rId1"/>
  <rowBreaks count="9" manualBreakCount="9">
    <brk id="33" max="9" man="1"/>
    <brk id="61" max="9" man="1"/>
    <brk id="102" max="9" man="1"/>
    <brk id="141" max="9" man="1"/>
    <brk id="168" max="9" man="1"/>
    <brk id="201" max="9" man="1"/>
    <brk id="230" max="9" man="1"/>
    <brk id="255" max="9" man="1"/>
    <brk id="292"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89"/>
  <sheetViews>
    <sheetView view="pageBreakPreview" topLeftCell="A118" zoomScale="60" zoomScaleNormal="100" workbookViewId="0">
      <selection activeCell="C139" sqref="C139"/>
    </sheetView>
  </sheetViews>
  <sheetFormatPr defaultColWidth="14.42578125" defaultRowHeight="15" customHeight="1" x14ac:dyDescent="0.25"/>
  <cols>
    <col min="1" max="1" width="41.7109375" customWidth="1"/>
    <col min="2" max="3" width="10.5703125" customWidth="1"/>
    <col min="4" max="4" width="15.140625" customWidth="1"/>
    <col min="5" max="8" width="17.28515625" customWidth="1"/>
    <col min="9" max="10" width="16.85546875" customWidth="1"/>
    <col min="11" max="11" width="8.7109375" customWidth="1"/>
  </cols>
  <sheetData>
    <row r="3" spans="1:8" ht="18.75" x14ac:dyDescent="0.3">
      <c r="A3" s="399" t="s">
        <v>719</v>
      </c>
      <c r="B3" s="338"/>
      <c r="C3" s="338"/>
      <c r="D3" s="338"/>
      <c r="E3" s="338"/>
      <c r="F3" s="338"/>
      <c r="G3" s="338"/>
      <c r="H3" s="338"/>
    </row>
    <row r="4" spans="1:8" ht="18.75" x14ac:dyDescent="0.3">
      <c r="A4" s="354" t="s">
        <v>603</v>
      </c>
      <c r="B4" s="338"/>
      <c r="C4" s="338"/>
      <c r="D4" s="338"/>
      <c r="E4" s="338"/>
      <c r="F4" s="338"/>
      <c r="G4" s="338"/>
      <c r="H4" s="338"/>
    </row>
    <row r="5" spans="1:8" x14ac:dyDescent="0.25">
      <c r="A5" s="69" t="s">
        <v>129</v>
      </c>
      <c r="B5" s="260">
        <v>1</v>
      </c>
      <c r="C5" s="69" t="s">
        <v>604</v>
      </c>
      <c r="D5" s="69"/>
      <c r="E5" s="69"/>
      <c r="F5" s="69"/>
      <c r="G5" s="69"/>
      <c r="H5" s="69"/>
    </row>
    <row r="6" spans="1:8" x14ac:dyDescent="0.25">
      <c r="A6" s="69" t="s">
        <v>573</v>
      </c>
      <c r="B6" s="117">
        <v>8</v>
      </c>
      <c r="C6" s="69"/>
      <c r="D6" s="69"/>
      <c r="E6" s="69"/>
      <c r="F6" s="69"/>
      <c r="G6" s="69"/>
      <c r="H6" s="69"/>
    </row>
    <row r="7" spans="1:8" x14ac:dyDescent="0.25">
      <c r="A7" s="69"/>
      <c r="B7" s="117"/>
      <c r="C7" s="69"/>
      <c r="D7" s="69"/>
      <c r="E7" s="69"/>
      <c r="F7" s="69"/>
      <c r="G7" s="69"/>
      <c r="H7" s="69"/>
    </row>
    <row r="8" spans="1:8" x14ac:dyDescent="0.25">
      <c r="A8" s="69"/>
      <c r="B8" s="117"/>
      <c r="C8" s="69"/>
      <c r="D8" s="69"/>
      <c r="E8" s="69"/>
      <c r="F8" s="69"/>
      <c r="G8" s="69"/>
      <c r="H8" s="69"/>
    </row>
    <row r="9" spans="1:8" x14ac:dyDescent="0.25">
      <c r="A9" s="69"/>
      <c r="B9" s="69"/>
      <c r="C9" s="69"/>
      <c r="D9" s="69"/>
      <c r="E9" s="69"/>
      <c r="F9" s="69"/>
      <c r="G9" s="69"/>
      <c r="H9" s="69"/>
    </row>
    <row r="10" spans="1:8" x14ac:dyDescent="0.25">
      <c r="A10" s="69"/>
      <c r="B10" s="69"/>
      <c r="C10" s="69"/>
      <c r="D10" s="69"/>
      <c r="E10" s="69"/>
      <c r="F10" s="69"/>
      <c r="G10" s="69"/>
      <c r="H10" s="69"/>
    </row>
    <row r="11" spans="1:8" x14ac:dyDescent="0.25">
      <c r="A11" s="124" t="s">
        <v>148</v>
      </c>
      <c r="B11" s="125" t="s">
        <v>151</v>
      </c>
      <c r="C11" s="125" t="s">
        <v>152</v>
      </c>
      <c r="D11" s="125" t="s">
        <v>153</v>
      </c>
      <c r="E11" s="125" t="s">
        <v>154</v>
      </c>
      <c r="F11" s="125" t="s">
        <v>155</v>
      </c>
      <c r="G11" s="125" t="s">
        <v>156</v>
      </c>
      <c r="H11" s="125" t="s">
        <v>157</v>
      </c>
    </row>
    <row r="12" spans="1:8" x14ac:dyDescent="0.25">
      <c r="A12" s="74" t="s">
        <v>605</v>
      </c>
      <c r="B12" s="272">
        <f t="shared" ref="B12:H12" si="0">B32/($B$5*$B$6)</f>
        <v>306.25</v>
      </c>
      <c r="C12" s="272">
        <f t="shared" si="0"/>
        <v>336.875</v>
      </c>
      <c r="D12" s="272">
        <f t="shared" si="0"/>
        <v>367.50000000000006</v>
      </c>
      <c r="E12" s="272">
        <f t="shared" si="0"/>
        <v>398.12500000000006</v>
      </c>
      <c r="F12" s="272">
        <f t="shared" si="0"/>
        <v>428.75000000000011</v>
      </c>
      <c r="G12" s="272">
        <f t="shared" si="0"/>
        <v>459.37500000000011</v>
      </c>
      <c r="H12" s="272">
        <f t="shared" si="0"/>
        <v>490.00000000000017</v>
      </c>
    </row>
    <row r="13" spans="1:8" x14ac:dyDescent="0.25">
      <c r="A13" s="74" t="str">
        <f>'10.Grain Production details'!A67</f>
        <v>Turmeric</v>
      </c>
      <c r="B13" s="74">
        <f>'10.Grain Production details'!B67</f>
        <v>0</v>
      </c>
      <c r="C13" s="74">
        <f>'10.Grain Production details'!C67</f>
        <v>0</v>
      </c>
      <c r="D13" s="74">
        <f>'10.Grain Production details'!D67</f>
        <v>0</v>
      </c>
      <c r="E13" s="74">
        <f>'10.Grain Production details'!E67</f>
        <v>0</v>
      </c>
      <c r="F13" s="74">
        <f>'10.Grain Production details'!F67</f>
        <v>0</v>
      </c>
      <c r="G13" s="74">
        <f>'10.Grain Production details'!G67</f>
        <v>0</v>
      </c>
      <c r="H13" s="74">
        <f>'10.Grain Production details'!H67</f>
        <v>0</v>
      </c>
    </row>
    <row r="14" spans="1:8" x14ac:dyDescent="0.25">
      <c r="A14" s="74" t="str">
        <f>'10.Grain Production details'!A68</f>
        <v>Red Gram/Tur</v>
      </c>
      <c r="B14" s="74">
        <f>'10.Grain Production details'!B68</f>
        <v>0</v>
      </c>
      <c r="C14" s="74">
        <f>'10.Grain Production details'!C68</f>
        <v>0</v>
      </c>
      <c r="D14" s="74">
        <f>'10.Grain Production details'!D68</f>
        <v>0</v>
      </c>
      <c r="E14" s="74">
        <f>'10.Grain Production details'!E68</f>
        <v>0</v>
      </c>
      <c r="F14" s="74">
        <f>'10.Grain Production details'!F68</f>
        <v>0</v>
      </c>
      <c r="G14" s="74">
        <f>'10.Grain Production details'!G68</f>
        <v>0</v>
      </c>
      <c r="H14" s="74">
        <f>'10.Grain Production details'!H68</f>
        <v>0</v>
      </c>
    </row>
    <row r="15" spans="1:8" x14ac:dyDescent="0.25">
      <c r="A15" s="74" t="str">
        <f>'10.Grain Production details'!A69</f>
        <v>Paddy/Rice</v>
      </c>
      <c r="B15" s="74">
        <f>'10.Grain Production details'!B69</f>
        <v>0</v>
      </c>
      <c r="C15" s="74">
        <f>'10.Grain Production details'!C69</f>
        <v>0</v>
      </c>
      <c r="D15" s="74">
        <f>'10.Grain Production details'!D69</f>
        <v>0</v>
      </c>
      <c r="E15" s="74">
        <f>'10.Grain Production details'!E69</f>
        <v>0</v>
      </c>
      <c r="F15" s="74">
        <f>'10.Grain Production details'!F69</f>
        <v>0</v>
      </c>
      <c r="G15" s="74">
        <f>'10.Grain Production details'!G69</f>
        <v>0</v>
      </c>
      <c r="H15" s="74">
        <f>'10.Grain Production details'!H69</f>
        <v>0</v>
      </c>
    </row>
    <row r="16" spans="1:8" x14ac:dyDescent="0.25">
      <c r="A16" s="74" t="str">
        <f>'10.Grain Production details'!A70</f>
        <v>Green Gram/ Moong</v>
      </c>
      <c r="B16" s="74">
        <f>'10.Grain Production details'!B70</f>
        <v>0</v>
      </c>
      <c r="C16" s="74">
        <f>'10.Grain Production details'!C70</f>
        <v>0</v>
      </c>
      <c r="D16" s="74">
        <f>'10.Grain Production details'!D70</f>
        <v>0</v>
      </c>
      <c r="E16" s="74">
        <f>'10.Grain Production details'!E70</f>
        <v>0</v>
      </c>
      <c r="F16" s="74">
        <f>'10.Grain Production details'!F70</f>
        <v>0</v>
      </c>
      <c r="G16" s="74">
        <f>'10.Grain Production details'!G70</f>
        <v>0</v>
      </c>
      <c r="H16" s="74">
        <f>'10.Grain Production details'!H70</f>
        <v>0</v>
      </c>
    </row>
    <row r="17" spans="1:12" x14ac:dyDescent="0.25">
      <c r="A17" s="74" t="str">
        <f>'10.Grain Production details'!A71</f>
        <v>Maize</v>
      </c>
      <c r="B17" s="74">
        <f>'10.Grain Production details'!B71</f>
        <v>0</v>
      </c>
      <c r="C17" s="74">
        <f>'10.Grain Production details'!C71</f>
        <v>0</v>
      </c>
      <c r="D17" s="74">
        <f>'10.Grain Production details'!D71</f>
        <v>0</v>
      </c>
      <c r="E17" s="74">
        <f>'10.Grain Production details'!E71</f>
        <v>0</v>
      </c>
      <c r="F17" s="74">
        <f>'10.Grain Production details'!F71</f>
        <v>0</v>
      </c>
      <c r="G17" s="74">
        <f>'10.Grain Production details'!G71</f>
        <v>0</v>
      </c>
      <c r="H17" s="74">
        <f>'10.Grain Production details'!H71</f>
        <v>0</v>
      </c>
    </row>
    <row r="18" spans="1:12" x14ac:dyDescent="0.25">
      <c r="A18" s="74" t="str">
        <f>'10.Grain Production details'!A72</f>
        <v>Black Gram/Udid</v>
      </c>
      <c r="B18" s="74">
        <f>'10.Grain Production details'!B72</f>
        <v>0</v>
      </c>
      <c r="C18" s="74">
        <f>'10.Grain Production details'!C72</f>
        <v>0</v>
      </c>
      <c r="D18" s="74">
        <f>'10.Grain Production details'!D72</f>
        <v>0</v>
      </c>
      <c r="E18" s="74">
        <f>'10.Grain Production details'!E72</f>
        <v>0</v>
      </c>
      <c r="F18" s="74">
        <f>'10.Grain Production details'!F72</f>
        <v>0</v>
      </c>
      <c r="G18" s="74">
        <f>'10.Grain Production details'!G72</f>
        <v>0</v>
      </c>
      <c r="H18" s="74">
        <f>'10.Grain Production details'!H72</f>
        <v>0</v>
      </c>
      <c r="J18" s="327"/>
    </row>
    <row r="19" spans="1:12" x14ac:dyDescent="0.25">
      <c r="A19" s="74" t="str">
        <f>'10.Grain Production details'!A73</f>
        <v>Bajra</v>
      </c>
      <c r="B19" s="74">
        <f>'10.Grain Production details'!B73</f>
        <v>0</v>
      </c>
      <c r="C19" s="74">
        <f>'10.Grain Production details'!C73</f>
        <v>0</v>
      </c>
      <c r="D19" s="74">
        <f>'10.Grain Production details'!D73</f>
        <v>0</v>
      </c>
      <c r="E19" s="74">
        <f>'10.Grain Production details'!E73</f>
        <v>0</v>
      </c>
      <c r="F19" s="74">
        <f>'10.Grain Production details'!F73</f>
        <v>0</v>
      </c>
      <c r="G19" s="74">
        <f>'10.Grain Production details'!G73</f>
        <v>0</v>
      </c>
      <c r="H19" s="74">
        <f>'10.Grain Production details'!H73</f>
        <v>0</v>
      </c>
    </row>
    <row r="20" spans="1:12" x14ac:dyDescent="0.25">
      <c r="A20" s="74" t="str">
        <f>'10.Grain Production details'!A74</f>
        <v>Jawar</v>
      </c>
      <c r="B20" s="74">
        <f>'10.Grain Production details'!B74</f>
        <v>0</v>
      </c>
      <c r="C20" s="74">
        <f>'10.Grain Production details'!C74</f>
        <v>0</v>
      </c>
      <c r="D20" s="74">
        <f>'10.Grain Production details'!D74</f>
        <v>0</v>
      </c>
      <c r="E20" s="74">
        <f>'10.Grain Production details'!E74</f>
        <v>0</v>
      </c>
      <c r="F20" s="74">
        <f>'10.Grain Production details'!F74</f>
        <v>0</v>
      </c>
      <c r="G20" s="74">
        <f>'10.Grain Production details'!G74</f>
        <v>0</v>
      </c>
      <c r="H20" s="74">
        <f>'10.Grain Production details'!H74</f>
        <v>0</v>
      </c>
      <c r="L20" s="327"/>
    </row>
    <row r="21" spans="1:12" ht="15.75" customHeight="1" x14ac:dyDescent="0.25">
      <c r="A21" s="74" t="str">
        <f>'10.Grain Production details'!A75</f>
        <v>Sunflower</v>
      </c>
      <c r="B21" s="74">
        <f>'10.Grain Production details'!B75</f>
        <v>0</v>
      </c>
      <c r="C21" s="74">
        <f>'10.Grain Production details'!C75</f>
        <v>0</v>
      </c>
      <c r="D21" s="74">
        <f>'10.Grain Production details'!D75</f>
        <v>0</v>
      </c>
      <c r="E21" s="74">
        <f>'10.Grain Production details'!E75</f>
        <v>0</v>
      </c>
      <c r="F21" s="74">
        <f>'10.Grain Production details'!F75</f>
        <v>0</v>
      </c>
      <c r="G21" s="74">
        <f>'10.Grain Production details'!G75</f>
        <v>0</v>
      </c>
      <c r="H21" s="74">
        <f>'10.Grain Production details'!H75</f>
        <v>0</v>
      </c>
      <c r="L21">
        <v>14700</v>
      </c>
    </row>
    <row r="22" spans="1:12" ht="15.75" customHeight="1" x14ac:dyDescent="0.25">
      <c r="A22" s="74" t="str">
        <f>'10.Grain Production details'!A76</f>
        <v>Wheat</v>
      </c>
      <c r="B22" s="74">
        <f>'10.Grain Production details'!B76</f>
        <v>0</v>
      </c>
      <c r="C22" s="74">
        <f>'10.Grain Production details'!C76</f>
        <v>0</v>
      </c>
      <c r="D22" s="74">
        <f>'10.Grain Production details'!D76</f>
        <v>0</v>
      </c>
      <c r="E22" s="74">
        <f>'10.Grain Production details'!E76</f>
        <v>0</v>
      </c>
      <c r="F22" s="74">
        <f>'10.Grain Production details'!F76</f>
        <v>0</v>
      </c>
      <c r="G22" s="74">
        <f>'10.Grain Production details'!G76</f>
        <v>0</v>
      </c>
      <c r="H22" s="74">
        <f>'10.Grain Production details'!H76</f>
        <v>0</v>
      </c>
      <c r="L22" s="327">
        <f>+L21*100</f>
        <v>1470000</v>
      </c>
    </row>
    <row r="23" spans="1:12" ht="15.75" customHeight="1" x14ac:dyDescent="0.25">
      <c r="A23" s="74" t="str">
        <f>'10.Grain Production details'!A77</f>
        <v>Bengal Gram/Channa</v>
      </c>
      <c r="B23" s="74">
        <f>'10.Grain Production details'!B77</f>
        <v>0</v>
      </c>
      <c r="C23" s="74">
        <f>'10.Grain Production details'!C77</f>
        <v>0</v>
      </c>
      <c r="D23" s="74">
        <f>'10.Grain Production details'!D77</f>
        <v>0</v>
      </c>
      <c r="E23" s="74">
        <f>'10.Grain Production details'!E77</f>
        <v>0</v>
      </c>
      <c r="F23" s="74">
        <f>'10.Grain Production details'!F77</f>
        <v>0</v>
      </c>
      <c r="G23" s="74">
        <f>'10.Grain Production details'!G77</f>
        <v>0</v>
      </c>
      <c r="H23" s="74">
        <f>'10.Grain Production details'!H77</f>
        <v>0</v>
      </c>
      <c r="L23" s="328">
        <f>+L22/900</f>
        <v>1633.3333333333333</v>
      </c>
    </row>
    <row r="24" spans="1:12" ht="15.75" customHeight="1" x14ac:dyDescent="0.25">
      <c r="A24" s="74" t="str">
        <f>'10.Grain Production details'!A78</f>
        <v>Jawar</v>
      </c>
      <c r="B24" s="74">
        <f>'10.Grain Production details'!B78</f>
        <v>0</v>
      </c>
      <c r="C24" s="74">
        <f>'10.Grain Production details'!C78</f>
        <v>0</v>
      </c>
      <c r="D24" s="74">
        <f>'10.Grain Production details'!D78</f>
        <v>0</v>
      </c>
      <c r="E24" s="74">
        <f>'10.Grain Production details'!E78</f>
        <v>0</v>
      </c>
      <c r="F24" s="74">
        <f>'10.Grain Production details'!F78</f>
        <v>0</v>
      </c>
      <c r="G24" s="74">
        <f>'10.Grain Production details'!G78</f>
        <v>0</v>
      </c>
      <c r="H24" s="74">
        <f>'10.Grain Production details'!H78</f>
        <v>0</v>
      </c>
      <c r="L24" s="327"/>
    </row>
    <row r="25" spans="1:12" ht="15.75" customHeight="1" x14ac:dyDescent="0.25">
      <c r="A25" s="74" t="str">
        <f>'10.Grain Production details'!A79</f>
        <v>Maize</v>
      </c>
      <c r="B25" s="74">
        <f>'10.Grain Production details'!B79</f>
        <v>0</v>
      </c>
      <c r="C25" s="74">
        <f>'10.Grain Production details'!C79</f>
        <v>0</v>
      </c>
      <c r="D25" s="74">
        <f>'10.Grain Production details'!D79</f>
        <v>0</v>
      </c>
      <c r="E25" s="74">
        <f>'10.Grain Production details'!E79</f>
        <v>0</v>
      </c>
      <c r="F25" s="74">
        <f>'10.Grain Production details'!F79</f>
        <v>0</v>
      </c>
      <c r="G25" s="74">
        <f>'10.Grain Production details'!G79</f>
        <v>0</v>
      </c>
      <c r="H25" s="74">
        <f>'10.Grain Production details'!H79</f>
        <v>0</v>
      </c>
    </row>
    <row r="26" spans="1:12" ht="15.75" customHeight="1" x14ac:dyDescent="0.25">
      <c r="A26" s="74" t="str">
        <f>'10.Grain Production details'!A80</f>
        <v>Safflower</v>
      </c>
      <c r="B26" s="74">
        <f>'10.Grain Production details'!B80</f>
        <v>0</v>
      </c>
      <c r="C26" s="74">
        <f>'10.Grain Production details'!C80</f>
        <v>0</v>
      </c>
      <c r="D26" s="74">
        <f>'10.Grain Production details'!D80</f>
        <v>0</v>
      </c>
      <c r="E26" s="74">
        <f>'10.Grain Production details'!E80</f>
        <v>0</v>
      </c>
      <c r="F26" s="74">
        <f>'10.Grain Production details'!F80</f>
        <v>0</v>
      </c>
      <c r="G26" s="74">
        <f>'10.Grain Production details'!G80</f>
        <v>0</v>
      </c>
      <c r="H26" s="74">
        <f>'10.Grain Production details'!H80</f>
        <v>0</v>
      </c>
      <c r="L26">
        <v>900</v>
      </c>
    </row>
    <row r="27" spans="1:12" ht="15.75" customHeight="1" x14ac:dyDescent="0.25">
      <c r="A27" s="74">
        <f>'10.Grain Production details'!A81</f>
        <v>0</v>
      </c>
      <c r="B27" s="74">
        <f>'10.Grain Production details'!B81</f>
        <v>0</v>
      </c>
      <c r="C27" s="74">
        <f>'10.Grain Production details'!C81</f>
        <v>0</v>
      </c>
      <c r="D27" s="74">
        <f>'10.Grain Production details'!D81</f>
        <v>0</v>
      </c>
      <c r="E27" s="74">
        <f>'10.Grain Production details'!E81</f>
        <v>0</v>
      </c>
      <c r="F27" s="74">
        <f>'10.Grain Production details'!F81</f>
        <v>0</v>
      </c>
      <c r="G27" s="74">
        <f>'10.Grain Production details'!G81</f>
        <v>0</v>
      </c>
      <c r="H27" s="74">
        <f>'10.Grain Production details'!H81</f>
        <v>0</v>
      </c>
      <c r="L27">
        <f>+L26/50</f>
        <v>18</v>
      </c>
    </row>
    <row r="28" spans="1:12" ht="15.75" customHeight="1" x14ac:dyDescent="0.25">
      <c r="A28" s="74">
        <f>'10.Grain Production details'!A82</f>
        <v>0</v>
      </c>
      <c r="B28" s="74">
        <f>'10.Grain Production details'!B82</f>
        <v>0</v>
      </c>
      <c r="C28" s="74">
        <f>'10.Grain Production details'!C82</f>
        <v>0</v>
      </c>
      <c r="D28" s="74">
        <f>'10.Grain Production details'!D82</f>
        <v>0</v>
      </c>
      <c r="E28" s="74">
        <f>'10.Grain Production details'!E82</f>
        <v>0</v>
      </c>
      <c r="F28" s="74">
        <f>'10.Grain Production details'!F82</f>
        <v>0</v>
      </c>
      <c r="G28" s="74">
        <f>'10.Grain Production details'!G82</f>
        <v>0</v>
      </c>
      <c r="H28" s="74">
        <f>'10.Grain Production details'!H82</f>
        <v>0</v>
      </c>
      <c r="L28">
        <f>+L27*300</f>
        <v>5400</v>
      </c>
    </row>
    <row r="29" spans="1:12" ht="15.75" customHeight="1" x14ac:dyDescent="0.25">
      <c r="A29" s="74">
        <f>'10.Grain Production details'!A83</f>
        <v>0</v>
      </c>
      <c r="B29" s="74">
        <f>'10.Grain Production details'!B83</f>
        <v>0</v>
      </c>
      <c r="C29" s="74">
        <f>'10.Grain Production details'!C83</f>
        <v>0</v>
      </c>
      <c r="D29" s="74">
        <f>'10.Grain Production details'!D83</f>
        <v>0</v>
      </c>
      <c r="E29" s="74">
        <f>'10.Grain Production details'!E83</f>
        <v>0</v>
      </c>
      <c r="F29" s="74">
        <f>'10.Grain Production details'!F83</f>
        <v>0</v>
      </c>
      <c r="G29" s="74">
        <f>'10.Grain Production details'!G83</f>
        <v>0</v>
      </c>
      <c r="H29" s="74">
        <f>'10.Grain Production details'!H83</f>
        <v>0</v>
      </c>
      <c r="L29">
        <f>+L28*6000</f>
        <v>32400000</v>
      </c>
    </row>
    <row r="30" spans="1:12" ht="15.75" customHeight="1" x14ac:dyDescent="0.25">
      <c r="A30" s="74" t="str">
        <f>'10.Grain Production details'!A84</f>
        <v>Turmeric</v>
      </c>
      <c r="B30" s="74">
        <f>'10.Grain Production details'!B84</f>
        <v>2450</v>
      </c>
      <c r="C30" s="74">
        <f>'10.Grain Production details'!C84</f>
        <v>2695</v>
      </c>
      <c r="D30" s="74">
        <f>'10.Grain Production details'!D84</f>
        <v>2940.0000000000005</v>
      </c>
      <c r="E30" s="74">
        <f>'10.Grain Production details'!E84</f>
        <v>3185.0000000000005</v>
      </c>
      <c r="F30" s="74">
        <f>'10.Grain Production details'!F84</f>
        <v>3430.0000000000009</v>
      </c>
      <c r="G30" s="74">
        <f>'10.Grain Production details'!G84</f>
        <v>3675.0000000000009</v>
      </c>
      <c r="H30" s="74">
        <f>'10.Grain Production details'!H84</f>
        <v>3920.0000000000014</v>
      </c>
    </row>
    <row r="31" spans="1:12" ht="15.75" customHeight="1" x14ac:dyDescent="0.25">
      <c r="A31" s="74">
        <f>'10.Grain Production details'!A85</f>
        <v>0</v>
      </c>
      <c r="B31" s="74">
        <f>'10.Grain Production details'!B85</f>
        <v>0</v>
      </c>
      <c r="C31" s="74">
        <f>'10.Grain Production details'!C85</f>
        <v>0</v>
      </c>
      <c r="D31" s="74">
        <f>'10.Grain Production details'!D85</f>
        <v>0</v>
      </c>
      <c r="E31" s="74">
        <f>'10.Grain Production details'!E85</f>
        <v>0</v>
      </c>
      <c r="F31" s="74">
        <f>'10.Grain Production details'!F85</f>
        <v>0</v>
      </c>
      <c r="G31" s="74">
        <f>'10.Grain Production details'!G85</f>
        <v>0</v>
      </c>
      <c r="H31" s="74">
        <f>'10.Grain Production details'!H85</f>
        <v>0</v>
      </c>
    </row>
    <row r="32" spans="1:12" ht="15.75" customHeight="1" x14ac:dyDescent="0.25">
      <c r="A32" s="74" t="s">
        <v>606</v>
      </c>
      <c r="B32" s="74">
        <f t="shared" ref="B32:H32" si="1">SUM(B13:B31)</f>
        <v>2450</v>
      </c>
      <c r="C32" s="74">
        <f t="shared" si="1"/>
        <v>2695</v>
      </c>
      <c r="D32" s="74">
        <f t="shared" si="1"/>
        <v>2940.0000000000005</v>
      </c>
      <c r="E32" s="74">
        <f t="shared" si="1"/>
        <v>3185.0000000000005</v>
      </c>
      <c r="F32" s="74">
        <f t="shared" si="1"/>
        <v>3430.0000000000009</v>
      </c>
      <c r="G32" s="74">
        <f t="shared" si="1"/>
        <v>3675.0000000000009</v>
      </c>
      <c r="H32" s="74">
        <f t="shared" si="1"/>
        <v>3920.0000000000014</v>
      </c>
    </row>
    <row r="33" spans="1:8" ht="15.75" customHeight="1" x14ac:dyDescent="0.25">
      <c r="A33" s="273" t="s">
        <v>582</v>
      </c>
      <c r="B33" s="135">
        <v>0.25</v>
      </c>
      <c r="C33" s="135">
        <f t="shared" ref="C33:H33" si="2">B33</f>
        <v>0.25</v>
      </c>
      <c r="D33" s="135">
        <f t="shared" si="2"/>
        <v>0.25</v>
      </c>
      <c r="E33" s="135">
        <f t="shared" si="2"/>
        <v>0.25</v>
      </c>
      <c r="F33" s="135">
        <f t="shared" si="2"/>
        <v>0.25</v>
      </c>
      <c r="G33" s="135">
        <f t="shared" si="2"/>
        <v>0.25</v>
      </c>
      <c r="H33" s="135">
        <f t="shared" si="2"/>
        <v>0.25</v>
      </c>
    </row>
    <row r="34" spans="1:8" ht="15.75" customHeight="1" x14ac:dyDescent="0.25">
      <c r="A34" s="74" t="s">
        <v>607</v>
      </c>
      <c r="B34" s="127">
        <f t="shared" ref="B34:H34" si="3">1-B33</f>
        <v>0.75</v>
      </c>
      <c r="C34" s="127">
        <f t="shared" si="3"/>
        <v>0.75</v>
      </c>
      <c r="D34" s="127">
        <f t="shared" si="3"/>
        <v>0.75</v>
      </c>
      <c r="E34" s="127">
        <f t="shared" si="3"/>
        <v>0.75</v>
      </c>
      <c r="F34" s="127">
        <f t="shared" si="3"/>
        <v>0.75</v>
      </c>
      <c r="G34" s="127">
        <f t="shared" si="3"/>
        <v>0.75</v>
      </c>
      <c r="H34" s="127">
        <f t="shared" si="3"/>
        <v>0.75</v>
      </c>
    </row>
    <row r="35" spans="1:8" ht="15.75" customHeight="1" x14ac:dyDescent="0.25">
      <c r="A35" s="77" t="s">
        <v>582</v>
      </c>
      <c r="B35" s="269">
        <f t="shared" ref="B35:H35" si="4">B32*B33</f>
        <v>612.5</v>
      </c>
      <c r="C35" s="269">
        <f t="shared" si="4"/>
        <v>673.75</v>
      </c>
      <c r="D35" s="269">
        <f t="shared" si="4"/>
        <v>735.00000000000011</v>
      </c>
      <c r="E35" s="269">
        <f t="shared" si="4"/>
        <v>796.25000000000011</v>
      </c>
      <c r="F35" s="269">
        <f t="shared" si="4"/>
        <v>857.50000000000023</v>
      </c>
      <c r="G35" s="269">
        <f t="shared" si="4"/>
        <v>918.75000000000023</v>
      </c>
      <c r="H35" s="269">
        <f t="shared" si="4"/>
        <v>980.00000000000034</v>
      </c>
    </row>
    <row r="36" spans="1:8" ht="15.75" customHeight="1" x14ac:dyDescent="0.25">
      <c r="A36" s="77" t="s">
        <v>583</v>
      </c>
      <c r="B36" s="78"/>
      <c r="C36" s="78"/>
      <c r="D36" s="78"/>
      <c r="E36" s="78"/>
      <c r="F36" s="78"/>
      <c r="G36" s="78"/>
      <c r="H36" s="78"/>
    </row>
    <row r="37" spans="1:8" ht="15.75" customHeight="1" x14ac:dyDescent="0.25">
      <c r="A37" s="74" t="str">
        <f t="shared" ref="A37:A55" si="5">A13</f>
        <v>Turmeric</v>
      </c>
      <c r="B37" s="76">
        <f>B13*$B$34</f>
        <v>0</v>
      </c>
      <c r="C37" s="76">
        <f t="shared" ref="C37:H37" si="6">C13*$B$34</f>
        <v>0</v>
      </c>
      <c r="D37" s="76">
        <f t="shared" si="6"/>
        <v>0</v>
      </c>
      <c r="E37" s="76">
        <f t="shared" si="6"/>
        <v>0</v>
      </c>
      <c r="F37" s="76">
        <f t="shared" si="6"/>
        <v>0</v>
      </c>
      <c r="G37" s="76">
        <f t="shared" si="6"/>
        <v>0</v>
      </c>
      <c r="H37" s="76">
        <f t="shared" si="6"/>
        <v>0</v>
      </c>
    </row>
    <row r="38" spans="1:8" ht="15.75" customHeight="1" x14ac:dyDescent="0.25">
      <c r="A38" s="74" t="str">
        <f t="shared" si="5"/>
        <v>Red Gram/Tur</v>
      </c>
      <c r="B38" s="76">
        <f t="shared" ref="B38:B55" si="7">B14*$B$34</f>
        <v>0</v>
      </c>
      <c r="C38" s="76">
        <f t="shared" ref="C38:C55" si="8">C14*$C$34</f>
        <v>0</v>
      </c>
      <c r="D38" s="76">
        <f t="shared" ref="D38:D55" si="9">D14*$D$34</f>
        <v>0</v>
      </c>
      <c r="E38" s="76">
        <f t="shared" ref="E38:E55" si="10">E14*$E$34</f>
        <v>0</v>
      </c>
      <c r="F38" s="76">
        <f t="shared" ref="F38:F55" si="11">F14*$F$34</f>
        <v>0</v>
      </c>
      <c r="G38" s="76">
        <f t="shared" ref="G38:G55" si="12">G14*$G$34</f>
        <v>0</v>
      </c>
      <c r="H38" s="76">
        <f t="shared" ref="H38:H55" si="13">H14*$H$34</f>
        <v>0</v>
      </c>
    </row>
    <row r="39" spans="1:8" ht="15.75" customHeight="1" x14ac:dyDescent="0.25">
      <c r="A39" s="74" t="str">
        <f t="shared" si="5"/>
        <v>Paddy/Rice</v>
      </c>
      <c r="B39" s="76">
        <f t="shared" si="7"/>
        <v>0</v>
      </c>
      <c r="C39" s="76">
        <f t="shared" si="8"/>
        <v>0</v>
      </c>
      <c r="D39" s="76">
        <f t="shared" si="9"/>
        <v>0</v>
      </c>
      <c r="E39" s="76">
        <f t="shared" si="10"/>
        <v>0</v>
      </c>
      <c r="F39" s="76">
        <f t="shared" si="11"/>
        <v>0</v>
      </c>
      <c r="G39" s="76">
        <f t="shared" si="12"/>
        <v>0</v>
      </c>
      <c r="H39" s="76">
        <f t="shared" si="13"/>
        <v>0</v>
      </c>
    </row>
    <row r="40" spans="1:8" ht="15.75" customHeight="1" x14ac:dyDescent="0.25">
      <c r="A40" s="74" t="str">
        <f t="shared" si="5"/>
        <v>Green Gram/ Moong</v>
      </c>
      <c r="B40" s="76">
        <f t="shared" si="7"/>
        <v>0</v>
      </c>
      <c r="C40" s="76">
        <f t="shared" si="8"/>
        <v>0</v>
      </c>
      <c r="D40" s="76">
        <f t="shared" si="9"/>
        <v>0</v>
      </c>
      <c r="E40" s="76">
        <f t="shared" si="10"/>
        <v>0</v>
      </c>
      <c r="F40" s="76">
        <f t="shared" si="11"/>
        <v>0</v>
      </c>
      <c r="G40" s="76">
        <f t="shared" si="12"/>
        <v>0</v>
      </c>
      <c r="H40" s="76">
        <f t="shared" si="13"/>
        <v>0</v>
      </c>
    </row>
    <row r="41" spans="1:8" ht="15.75" customHeight="1" x14ac:dyDescent="0.25">
      <c r="A41" s="74" t="str">
        <f t="shared" si="5"/>
        <v>Maize</v>
      </c>
      <c r="B41" s="76">
        <f t="shared" si="7"/>
        <v>0</v>
      </c>
      <c r="C41" s="76">
        <f t="shared" si="8"/>
        <v>0</v>
      </c>
      <c r="D41" s="76">
        <f t="shared" si="9"/>
        <v>0</v>
      </c>
      <c r="E41" s="76">
        <f t="shared" si="10"/>
        <v>0</v>
      </c>
      <c r="F41" s="76">
        <f t="shared" si="11"/>
        <v>0</v>
      </c>
      <c r="G41" s="76">
        <f t="shared" si="12"/>
        <v>0</v>
      </c>
      <c r="H41" s="76">
        <f t="shared" si="13"/>
        <v>0</v>
      </c>
    </row>
    <row r="42" spans="1:8" ht="15.75" customHeight="1" x14ac:dyDescent="0.25">
      <c r="A42" s="74" t="str">
        <f t="shared" si="5"/>
        <v>Black Gram/Udid</v>
      </c>
      <c r="B42" s="76">
        <f t="shared" si="7"/>
        <v>0</v>
      </c>
      <c r="C42" s="76">
        <f t="shared" si="8"/>
        <v>0</v>
      </c>
      <c r="D42" s="76">
        <f t="shared" si="9"/>
        <v>0</v>
      </c>
      <c r="E42" s="76">
        <f t="shared" si="10"/>
        <v>0</v>
      </c>
      <c r="F42" s="76">
        <f t="shared" si="11"/>
        <v>0</v>
      </c>
      <c r="G42" s="76">
        <f t="shared" si="12"/>
        <v>0</v>
      </c>
      <c r="H42" s="76">
        <f t="shared" si="13"/>
        <v>0</v>
      </c>
    </row>
    <row r="43" spans="1:8" ht="15.75" customHeight="1" x14ac:dyDescent="0.25">
      <c r="A43" s="74" t="str">
        <f t="shared" si="5"/>
        <v>Bajra</v>
      </c>
      <c r="B43" s="76">
        <f t="shared" si="7"/>
        <v>0</v>
      </c>
      <c r="C43" s="76">
        <f t="shared" si="8"/>
        <v>0</v>
      </c>
      <c r="D43" s="76">
        <f t="shared" si="9"/>
        <v>0</v>
      </c>
      <c r="E43" s="76">
        <f t="shared" si="10"/>
        <v>0</v>
      </c>
      <c r="F43" s="76">
        <f t="shared" si="11"/>
        <v>0</v>
      </c>
      <c r="G43" s="76">
        <f t="shared" si="12"/>
        <v>0</v>
      </c>
      <c r="H43" s="76">
        <f t="shared" si="13"/>
        <v>0</v>
      </c>
    </row>
    <row r="44" spans="1:8" ht="15.75" customHeight="1" x14ac:dyDescent="0.25">
      <c r="A44" s="74" t="str">
        <f t="shared" si="5"/>
        <v>Jawar</v>
      </c>
      <c r="B44" s="76">
        <f t="shared" si="7"/>
        <v>0</v>
      </c>
      <c r="C44" s="76">
        <f t="shared" si="8"/>
        <v>0</v>
      </c>
      <c r="D44" s="76">
        <f t="shared" si="9"/>
        <v>0</v>
      </c>
      <c r="E44" s="76">
        <f t="shared" si="10"/>
        <v>0</v>
      </c>
      <c r="F44" s="76">
        <f t="shared" si="11"/>
        <v>0</v>
      </c>
      <c r="G44" s="76">
        <f t="shared" si="12"/>
        <v>0</v>
      </c>
      <c r="H44" s="76">
        <f t="shared" si="13"/>
        <v>0</v>
      </c>
    </row>
    <row r="45" spans="1:8" ht="15.75" customHeight="1" x14ac:dyDescent="0.25">
      <c r="A45" s="74" t="str">
        <f t="shared" si="5"/>
        <v>Sunflower</v>
      </c>
      <c r="B45" s="76">
        <f t="shared" si="7"/>
        <v>0</v>
      </c>
      <c r="C45" s="76">
        <f t="shared" si="8"/>
        <v>0</v>
      </c>
      <c r="D45" s="76">
        <f t="shared" si="9"/>
        <v>0</v>
      </c>
      <c r="E45" s="76">
        <f t="shared" si="10"/>
        <v>0</v>
      </c>
      <c r="F45" s="76">
        <f t="shared" si="11"/>
        <v>0</v>
      </c>
      <c r="G45" s="76">
        <f t="shared" si="12"/>
        <v>0</v>
      </c>
      <c r="H45" s="76">
        <f t="shared" si="13"/>
        <v>0</v>
      </c>
    </row>
    <row r="46" spans="1:8" ht="15.75" customHeight="1" x14ac:dyDescent="0.25">
      <c r="A46" s="74" t="str">
        <f t="shared" si="5"/>
        <v>Wheat</v>
      </c>
      <c r="B46" s="76">
        <f t="shared" si="7"/>
        <v>0</v>
      </c>
      <c r="C46" s="76">
        <f t="shared" si="8"/>
        <v>0</v>
      </c>
      <c r="D46" s="76">
        <f t="shared" si="9"/>
        <v>0</v>
      </c>
      <c r="E46" s="76">
        <f t="shared" si="10"/>
        <v>0</v>
      </c>
      <c r="F46" s="76">
        <f t="shared" si="11"/>
        <v>0</v>
      </c>
      <c r="G46" s="76">
        <f t="shared" si="12"/>
        <v>0</v>
      </c>
      <c r="H46" s="76">
        <f t="shared" si="13"/>
        <v>0</v>
      </c>
    </row>
    <row r="47" spans="1:8" ht="15.75" customHeight="1" x14ac:dyDescent="0.25">
      <c r="A47" s="74" t="str">
        <f t="shared" si="5"/>
        <v>Bengal Gram/Channa</v>
      </c>
      <c r="B47" s="76">
        <f t="shared" si="7"/>
        <v>0</v>
      </c>
      <c r="C47" s="76">
        <f t="shared" si="8"/>
        <v>0</v>
      </c>
      <c r="D47" s="76">
        <f t="shared" si="9"/>
        <v>0</v>
      </c>
      <c r="E47" s="76">
        <f t="shared" si="10"/>
        <v>0</v>
      </c>
      <c r="F47" s="76">
        <f t="shared" si="11"/>
        <v>0</v>
      </c>
      <c r="G47" s="76">
        <f t="shared" si="12"/>
        <v>0</v>
      </c>
      <c r="H47" s="76">
        <f t="shared" si="13"/>
        <v>0</v>
      </c>
    </row>
    <row r="48" spans="1:8" ht="15.75" customHeight="1" x14ac:dyDescent="0.25">
      <c r="A48" s="74" t="str">
        <f t="shared" si="5"/>
        <v>Jawar</v>
      </c>
      <c r="B48" s="76">
        <f t="shared" si="7"/>
        <v>0</v>
      </c>
      <c r="C48" s="76">
        <f t="shared" si="8"/>
        <v>0</v>
      </c>
      <c r="D48" s="76">
        <f t="shared" si="9"/>
        <v>0</v>
      </c>
      <c r="E48" s="76">
        <f t="shared" si="10"/>
        <v>0</v>
      </c>
      <c r="F48" s="76">
        <f t="shared" si="11"/>
        <v>0</v>
      </c>
      <c r="G48" s="76">
        <f t="shared" si="12"/>
        <v>0</v>
      </c>
      <c r="H48" s="76">
        <f t="shared" si="13"/>
        <v>0</v>
      </c>
    </row>
    <row r="49" spans="1:8" ht="15.75" customHeight="1" x14ac:dyDescent="0.25">
      <c r="A49" s="74" t="str">
        <f t="shared" si="5"/>
        <v>Maize</v>
      </c>
      <c r="B49" s="76">
        <f t="shared" si="7"/>
        <v>0</v>
      </c>
      <c r="C49" s="76">
        <f t="shared" si="8"/>
        <v>0</v>
      </c>
      <c r="D49" s="76">
        <f t="shared" si="9"/>
        <v>0</v>
      </c>
      <c r="E49" s="76">
        <f t="shared" si="10"/>
        <v>0</v>
      </c>
      <c r="F49" s="76">
        <f t="shared" si="11"/>
        <v>0</v>
      </c>
      <c r="G49" s="76">
        <f t="shared" si="12"/>
        <v>0</v>
      </c>
      <c r="H49" s="76">
        <f t="shared" si="13"/>
        <v>0</v>
      </c>
    </row>
    <row r="50" spans="1:8" ht="15.75" customHeight="1" x14ac:dyDescent="0.25">
      <c r="A50" s="74" t="str">
        <f t="shared" si="5"/>
        <v>Safflower</v>
      </c>
      <c r="B50" s="76">
        <f t="shared" si="7"/>
        <v>0</v>
      </c>
      <c r="C50" s="76">
        <f t="shared" si="8"/>
        <v>0</v>
      </c>
      <c r="D50" s="76">
        <f t="shared" si="9"/>
        <v>0</v>
      </c>
      <c r="E50" s="76">
        <f t="shared" si="10"/>
        <v>0</v>
      </c>
      <c r="F50" s="76">
        <f t="shared" si="11"/>
        <v>0</v>
      </c>
      <c r="G50" s="76">
        <f t="shared" si="12"/>
        <v>0</v>
      </c>
      <c r="H50" s="76">
        <f t="shared" si="13"/>
        <v>0</v>
      </c>
    </row>
    <row r="51" spans="1:8" ht="15.75" customHeight="1" x14ac:dyDescent="0.25">
      <c r="A51" s="74">
        <f t="shared" si="5"/>
        <v>0</v>
      </c>
      <c r="B51" s="76">
        <f t="shared" si="7"/>
        <v>0</v>
      </c>
      <c r="C51" s="76">
        <f t="shared" si="8"/>
        <v>0</v>
      </c>
      <c r="D51" s="76">
        <f t="shared" si="9"/>
        <v>0</v>
      </c>
      <c r="E51" s="76">
        <f t="shared" si="10"/>
        <v>0</v>
      </c>
      <c r="F51" s="76">
        <f t="shared" si="11"/>
        <v>0</v>
      </c>
      <c r="G51" s="76">
        <f t="shared" si="12"/>
        <v>0</v>
      </c>
      <c r="H51" s="76">
        <f t="shared" si="13"/>
        <v>0</v>
      </c>
    </row>
    <row r="52" spans="1:8" ht="15.75" customHeight="1" x14ac:dyDescent="0.25">
      <c r="A52" s="74">
        <f t="shared" si="5"/>
        <v>0</v>
      </c>
      <c r="B52" s="76">
        <f t="shared" si="7"/>
        <v>0</v>
      </c>
      <c r="C52" s="76">
        <f t="shared" si="8"/>
        <v>0</v>
      </c>
      <c r="D52" s="76">
        <f t="shared" si="9"/>
        <v>0</v>
      </c>
      <c r="E52" s="76">
        <f t="shared" si="10"/>
        <v>0</v>
      </c>
      <c r="F52" s="76">
        <f t="shared" si="11"/>
        <v>0</v>
      </c>
      <c r="G52" s="76">
        <f t="shared" si="12"/>
        <v>0</v>
      </c>
      <c r="H52" s="76">
        <f t="shared" si="13"/>
        <v>0</v>
      </c>
    </row>
    <row r="53" spans="1:8" ht="15.75" customHeight="1" x14ac:dyDescent="0.25">
      <c r="A53" s="74">
        <f t="shared" si="5"/>
        <v>0</v>
      </c>
      <c r="B53" s="76">
        <f t="shared" si="7"/>
        <v>0</v>
      </c>
      <c r="C53" s="76">
        <f t="shared" si="8"/>
        <v>0</v>
      </c>
      <c r="D53" s="76">
        <f t="shared" si="9"/>
        <v>0</v>
      </c>
      <c r="E53" s="76">
        <f t="shared" si="10"/>
        <v>0</v>
      </c>
      <c r="F53" s="76">
        <f t="shared" si="11"/>
        <v>0</v>
      </c>
      <c r="G53" s="76">
        <f t="shared" si="12"/>
        <v>0</v>
      </c>
      <c r="H53" s="76">
        <f t="shared" si="13"/>
        <v>0</v>
      </c>
    </row>
    <row r="54" spans="1:8" ht="15.75" customHeight="1" x14ac:dyDescent="0.25">
      <c r="A54" s="74" t="str">
        <f t="shared" si="5"/>
        <v>Turmeric</v>
      </c>
      <c r="B54" s="76">
        <f t="shared" si="7"/>
        <v>1837.5</v>
      </c>
      <c r="C54" s="76">
        <f t="shared" si="8"/>
        <v>2021.25</v>
      </c>
      <c r="D54" s="76">
        <f t="shared" si="9"/>
        <v>2205.0000000000005</v>
      </c>
      <c r="E54" s="76">
        <f t="shared" si="10"/>
        <v>2388.7500000000005</v>
      </c>
      <c r="F54" s="76">
        <f t="shared" si="11"/>
        <v>2572.5000000000009</v>
      </c>
      <c r="G54" s="76">
        <f t="shared" si="12"/>
        <v>2756.2500000000009</v>
      </c>
      <c r="H54" s="76">
        <f t="shared" si="13"/>
        <v>2940.0000000000009</v>
      </c>
    </row>
    <row r="55" spans="1:8" ht="15.75" customHeight="1" x14ac:dyDescent="0.25">
      <c r="A55" s="74">
        <f t="shared" si="5"/>
        <v>0</v>
      </c>
      <c r="B55" s="76">
        <f t="shared" si="7"/>
        <v>0</v>
      </c>
      <c r="C55" s="76">
        <f t="shared" si="8"/>
        <v>0</v>
      </c>
      <c r="D55" s="76">
        <f t="shared" si="9"/>
        <v>0</v>
      </c>
      <c r="E55" s="76">
        <f t="shared" si="10"/>
        <v>0</v>
      </c>
      <c r="F55" s="76">
        <f t="shared" si="11"/>
        <v>0</v>
      </c>
      <c r="G55" s="76">
        <f t="shared" si="12"/>
        <v>0</v>
      </c>
      <c r="H55" s="76">
        <f t="shared" si="13"/>
        <v>0</v>
      </c>
    </row>
    <row r="56" spans="1:8" ht="15.75" customHeight="1" x14ac:dyDescent="0.25">
      <c r="A56" s="74"/>
      <c r="B56" s="74"/>
      <c r="C56" s="74"/>
      <c r="D56" s="74"/>
      <c r="E56" s="74"/>
      <c r="F56" s="74"/>
      <c r="G56" s="74"/>
      <c r="H56" s="74"/>
    </row>
    <row r="57" spans="1:8" ht="15.75" customHeight="1" x14ac:dyDescent="0.25">
      <c r="A57" s="77" t="s">
        <v>608</v>
      </c>
      <c r="B57" s="74"/>
      <c r="C57" s="74"/>
      <c r="D57" s="74"/>
      <c r="E57" s="74"/>
      <c r="F57" s="74"/>
      <c r="G57" s="74"/>
      <c r="H57" s="74"/>
    </row>
    <row r="58" spans="1:8" ht="15.75" customHeight="1" x14ac:dyDescent="0.25">
      <c r="A58" s="74" t="str">
        <f>A37</f>
        <v>Turmeric</v>
      </c>
      <c r="B58" s="74"/>
      <c r="C58" s="74"/>
      <c r="D58" s="74"/>
      <c r="E58" s="74"/>
      <c r="F58" s="74"/>
      <c r="G58" s="74"/>
      <c r="H58" s="74"/>
    </row>
    <row r="59" spans="1:8" ht="15.75" customHeight="1" x14ac:dyDescent="0.25">
      <c r="A59" s="305" t="s">
        <v>723</v>
      </c>
      <c r="B59" s="234">
        <f>B54*95%</f>
        <v>1745.625</v>
      </c>
      <c r="C59" s="234">
        <f t="shared" ref="C59:H59" si="14">C54*95%</f>
        <v>1920.1875</v>
      </c>
      <c r="D59" s="234">
        <f t="shared" si="14"/>
        <v>2094.7500000000005</v>
      </c>
      <c r="E59" s="234">
        <f t="shared" si="14"/>
        <v>2269.3125000000005</v>
      </c>
      <c r="F59" s="234">
        <f t="shared" si="14"/>
        <v>2443.8750000000009</v>
      </c>
      <c r="G59" s="234">
        <f t="shared" si="14"/>
        <v>2618.4375000000009</v>
      </c>
      <c r="H59" s="234">
        <f t="shared" si="14"/>
        <v>2793.0000000000009</v>
      </c>
    </row>
    <row r="60" spans="1:8" ht="15.75" customHeight="1" x14ac:dyDescent="0.25">
      <c r="A60" s="305" t="s">
        <v>724</v>
      </c>
      <c r="B60" s="234">
        <f>B37*14%</f>
        <v>0</v>
      </c>
      <c r="C60" s="234">
        <f t="shared" ref="C60:H60" si="15">C37*14%</f>
        <v>0</v>
      </c>
      <c r="D60" s="234">
        <f t="shared" si="15"/>
        <v>0</v>
      </c>
      <c r="E60" s="234">
        <f t="shared" si="15"/>
        <v>0</v>
      </c>
      <c r="F60" s="234">
        <f t="shared" si="15"/>
        <v>0</v>
      </c>
      <c r="G60" s="234">
        <f t="shared" si="15"/>
        <v>0</v>
      </c>
      <c r="H60" s="234">
        <f t="shared" si="15"/>
        <v>0</v>
      </c>
    </row>
    <row r="61" spans="1:8" ht="15.75" customHeight="1" x14ac:dyDescent="0.25">
      <c r="A61" s="305" t="s">
        <v>720</v>
      </c>
      <c r="B61" s="234">
        <f>+(B59+B74+B102)</f>
        <v>1745.625</v>
      </c>
      <c r="C61" s="234">
        <f t="shared" ref="C61:H61" si="16">+(C59+C74+C102)</f>
        <v>1920.1875</v>
      </c>
      <c r="D61" s="234">
        <f t="shared" si="16"/>
        <v>2094.7500000000005</v>
      </c>
      <c r="E61" s="234">
        <f t="shared" si="16"/>
        <v>2269.3125000000005</v>
      </c>
      <c r="F61" s="234">
        <f t="shared" si="16"/>
        <v>2443.8750000000009</v>
      </c>
      <c r="G61" s="234">
        <f t="shared" si="16"/>
        <v>2618.4375000000009</v>
      </c>
      <c r="H61" s="234">
        <f t="shared" si="16"/>
        <v>2793.0000000000009</v>
      </c>
    </row>
    <row r="62" spans="1:8" ht="15.75" customHeight="1" x14ac:dyDescent="0.25">
      <c r="A62" s="74" t="str">
        <f>A38</f>
        <v>Red Gram/Tur</v>
      </c>
      <c r="B62" s="234"/>
      <c r="C62" s="234"/>
      <c r="D62" s="234"/>
      <c r="E62" s="234"/>
      <c r="F62" s="234"/>
      <c r="G62" s="234"/>
      <c r="H62" s="234"/>
    </row>
    <row r="63" spans="1:8" ht="15.75" customHeight="1" x14ac:dyDescent="0.25">
      <c r="A63" s="74" t="s">
        <v>609</v>
      </c>
      <c r="B63" s="234">
        <f t="shared" ref="B63:H63" si="17">B38*80%</f>
        <v>0</v>
      </c>
      <c r="C63" s="234">
        <f t="shared" si="17"/>
        <v>0</v>
      </c>
      <c r="D63" s="234">
        <f t="shared" si="17"/>
        <v>0</v>
      </c>
      <c r="E63" s="234">
        <f t="shared" si="17"/>
        <v>0</v>
      </c>
      <c r="F63" s="234">
        <f t="shared" si="17"/>
        <v>0</v>
      </c>
      <c r="G63" s="234">
        <f t="shared" si="17"/>
        <v>0</v>
      </c>
      <c r="H63" s="234">
        <f t="shared" si="17"/>
        <v>0</v>
      </c>
    </row>
    <row r="64" spans="1:8" ht="15.75" customHeight="1" x14ac:dyDescent="0.25">
      <c r="A64" s="74" t="s">
        <v>610</v>
      </c>
      <c r="B64" s="234">
        <f t="shared" ref="B64:H64" si="18">B38*20%</f>
        <v>0</v>
      </c>
      <c r="C64" s="234">
        <f t="shared" si="18"/>
        <v>0</v>
      </c>
      <c r="D64" s="234">
        <f t="shared" si="18"/>
        <v>0</v>
      </c>
      <c r="E64" s="234">
        <f t="shared" si="18"/>
        <v>0</v>
      </c>
      <c r="F64" s="234">
        <f t="shared" si="18"/>
        <v>0</v>
      </c>
      <c r="G64" s="234">
        <f t="shared" si="18"/>
        <v>0</v>
      </c>
      <c r="H64" s="234">
        <f t="shared" si="18"/>
        <v>0</v>
      </c>
    </row>
    <row r="65" spans="1:12" ht="15.75" customHeight="1" x14ac:dyDescent="0.25">
      <c r="A65" s="74" t="str">
        <f>A39</f>
        <v>Paddy/Rice</v>
      </c>
      <c r="B65" s="76"/>
      <c r="C65" s="76"/>
      <c r="D65" s="76"/>
      <c r="E65" s="76"/>
      <c r="F65" s="76"/>
      <c r="G65" s="76"/>
      <c r="H65" s="76"/>
    </row>
    <row r="66" spans="1:12" ht="15.75" customHeight="1" x14ac:dyDescent="0.25">
      <c r="A66" s="74"/>
      <c r="B66" s="76"/>
      <c r="C66" s="76"/>
      <c r="D66" s="76"/>
      <c r="E66" s="76"/>
      <c r="F66" s="76"/>
      <c r="G66" s="76"/>
      <c r="H66" s="76"/>
    </row>
    <row r="67" spans="1:12" ht="15.75" customHeight="1" x14ac:dyDescent="0.25">
      <c r="A67" s="74"/>
      <c r="B67" s="76"/>
      <c r="C67" s="76"/>
      <c r="D67" s="76"/>
      <c r="E67" s="76"/>
      <c r="F67" s="76"/>
      <c r="G67" s="76"/>
      <c r="H67" s="76"/>
    </row>
    <row r="68" spans="1:12" ht="15.75" customHeight="1" x14ac:dyDescent="0.25">
      <c r="A68" s="74"/>
      <c r="B68" s="76"/>
      <c r="C68" s="76"/>
      <c r="D68" s="76"/>
      <c r="E68" s="76"/>
      <c r="F68" s="76"/>
      <c r="G68" s="76"/>
      <c r="H68" s="76"/>
    </row>
    <row r="69" spans="1:12" ht="15.75" customHeight="1" x14ac:dyDescent="0.25">
      <c r="A69" s="74" t="str">
        <f>A40</f>
        <v>Green Gram/ Moong</v>
      </c>
      <c r="B69" s="76"/>
      <c r="C69" s="76"/>
      <c r="D69" s="76"/>
      <c r="E69" s="76"/>
      <c r="F69" s="76"/>
      <c r="G69" s="76"/>
      <c r="H69" s="76"/>
    </row>
    <row r="70" spans="1:12" ht="15.75" customHeight="1" x14ac:dyDescent="0.25">
      <c r="A70" s="74" t="s">
        <v>609</v>
      </c>
      <c r="B70" s="76">
        <f t="shared" ref="B70:H70" si="19">B40*80%</f>
        <v>0</v>
      </c>
      <c r="C70" s="76">
        <f t="shared" si="19"/>
        <v>0</v>
      </c>
      <c r="D70" s="76">
        <f t="shared" si="19"/>
        <v>0</v>
      </c>
      <c r="E70" s="76">
        <f t="shared" si="19"/>
        <v>0</v>
      </c>
      <c r="F70" s="76">
        <f t="shared" si="19"/>
        <v>0</v>
      </c>
      <c r="G70" s="76">
        <f t="shared" si="19"/>
        <v>0</v>
      </c>
      <c r="H70" s="76">
        <f t="shared" si="19"/>
        <v>0</v>
      </c>
    </row>
    <row r="71" spans="1:12" ht="15.75" customHeight="1" x14ac:dyDescent="0.25">
      <c r="A71" s="74" t="s">
        <v>610</v>
      </c>
      <c r="B71" s="76">
        <f t="shared" ref="B71:H71" si="20">B40*20%</f>
        <v>0</v>
      </c>
      <c r="C71" s="76">
        <f t="shared" si="20"/>
        <v>0</v>
      </c>
      <c r="D71" s="76">
        <f t="shared" si="20"/>
        <v>0</v>
      </c>
      <c r="E71" s="76">
        <f t="shared" si="20"/>
        <v>0</v>
      </c>
      <c r="F71" s="76">
        <f t="shared" si="20"/>
        <v>0</v>
      </c>
      <c r="G71" s="76">
        <f t="shared" si="20"/>
        <v>0</v>
      </c>
      <c r="H71" s="76">
        <f t="shared" si="20"/>
        <v>0</v>
      </c>
    </row>
    <row r="72" spans="1:12" ht="15.75" customHeight="1" x14ac:dyDescent="0.25">
      <c r="A72" s="74" t="str">
        <f>A41</f>
        <v>Maize</v>
      </c>
      <c r="B72" s="76"/>
      <c r="C72" s="76"/>
      <c r="D72" s="76"/>
      <c r="E72" s="76"/>
      <c r="F72" s="76"/>
      <c r="G72" s="76"/>
      <c r="H72" s="76"/>
    </row>
    <row r="73" spans="1:12" ht="15.75" customHeight="1" x14ac:dyDescent="0.25">
      <c r="A73" s="74" t="s">
        <v>703</v>
      </c>
      <c r="B73" s="76">
        <f>B41*80%*0</f>
        <v>0</v>
      </c>
      <c r="C73" s="76">
        <f t="shared" ref="C73:H73" si="21">C41*80%*0</f>
        <v>0</v>
      </c>
      <c r="D73" s="76">
        <f t="shared" si="21"/>
        <v>0</v>
      </c>
      <c r="E73" s="76">
        <f t="shared" si="21"/>
        <v>0</v>
      </c>
      <c r="F73" s="76">
        <f t="shared" si="21"/>
        <v>0</v>
      </c>
      <c r="G73" s="76">
        <f t="shared" si="21"/>
        <v>0</v>
      </c>
      <c r="H73" s="76">
        <f t="shared" si="21"/>
        <v>0</v>
      </c>
    </row>
    <row r="74" spans="1:12" ht="15.75" customHeight="1" x14ac:dyDescent="0.25">
      <c r="A74" s="74" t="s">
        <v>704</v>
      </c>
      <c r="B74" s="76">
        <f>B41*166%</f>
        <v>0</v>
      </c>
      <c r="C74" s="76">
        <f t="shared" ref="C74:H74" si="22">C41*166%</f>
        <v>0</v>
      </c>
      <c r="D74" s="76">
        <f t="shared" si="22"/>
        <v>0</v>
      </c>
      <c r="E74" s="76">
        <f t="shared" si="22"/>
        <v>0</v>
      </c>
      <c r="F74" s="76">
        <f t="shared" si="22"/>
        <v>0</v>
      </c>
      <c r="G74" s="76">
        <f t="shared" si="22"/>
        <v>0</v>
      </c>
      <c r="H74" s="76">
        <f t="shared" si="22"/>
        <v>0</v>
      </c>
      <c r="K74">
        <v>600</v>
      </c>
      <c r="L74">
        <v>1000</v>
      </c>
    </row>
    <row r="75" spans="1:12" ht="15.75" customHeight="1" x14ac:dyDescent="0.25">
      <c r="A75" s="74"/>
      <c r="B75" s="76"/>
      <c r="C75" s="76"/>
      <c r="D75" s="76"/>
      <c r="E75" s="76"/>
      <c r="F75" s="76"/>
      <c r="G75" s="76"/>
      <c r="H75" s="76"/>
      <c r="K75">
        <v>1000</v>
      </c>
      <c r="L75">
        <f>+K75*L74/K74</f>
        <v>1666.6666666666667</v>
      </c>
    </row>
    <row r="76" spans="1:12" ht="15.75" customHeight="1" x14ac:dyDescent="0.25">
      <c r="A76" s="74"/>
      <c r="B76" s="76"/>
      <c r="C76" s="76"/>
      <c r="D76" s="76"/>
      <c r="E76" s="76"/>
      <c r="F76" s="76"/>
      <c r="G76" s="76"/>
      <c r="H76" s="76"/>
      <c r="L76">
        <f>+L75/K75*100</f>
        <v>166.66666666666669</v>
      </c>
    </row>
    <row r="77" spans="1:12" ht="15.75" customHeight="1" x14ac:dyDescent="0.25">
      <c r="A77" s="74" t="str">
        <f>A42</f>
        <v>Black Gram/Udid</v>
      </c>
      <c r="B77" s="76"/>
      <c r="C77" s="76"/>
      <c r="D77" s="76"/>
      <c r="E77" s="76"/>
      <c r="F77" s="76"/>
      <c r="G77" s="76"/>
      <c r="H77" s="76"/>
    </row>
    <row r="78" spans="1:12" ht="15.75" customHeight="1" x14ac:dyDescent="0.25">
      <c r="A78" s="74" t="s">
        <v>609</v>
      </c>
      <c r="B78" s="76">
        <f t="shared" ref="B78:H78" si="23">B42*80%</f>
        <v>0</v>
      </c>
      <c r="C78" s="76">
        <f t="shared" si="23"/>
        <v>0</v>
      </c>
      <c r="D78" s="76">
        <f t="shared" si="23"/>
        <v>0</v>
      </c>
      <c r="E78" s="76">
        <f t="shared" si="23"/>
        <v>0</v>
      </c>
      <c r="F78" s="76">
        <f t="shared" si="23"/>
        <v>0</v>
      </c>
      <c r="G78" s="76">
        <f t="shared" si="23"/>
        <v>0</v>
      </c>
      <c r="H78" s="76">
        <f t="shared" si="23"/>
        <v>0</v>
      </c>
    </row>
    <row r="79" spans="1:12" ht="15.75" customHeight="1" x14ac:dyDescent="0.25">
      <c r="A79" s="74" t="s">
        <v>610</v>
      </c>
      <c r="B79" s="76">
        <f t="shared" ref="B79:H79" si="24">B42*20%</f>
        <v>0</v>
      </c>
      <c r="C79" s="76">
        <f t="shared" si="24"/>
        <v>0</v>
      </c>
      <c r="D79" s="76">
        <f t="shared" si="24"/>
        <v>0</v>
      </c>
      <c r="E79" s="76">
        <f t="shared" si="24"/>
        <v>0</v>
      </c>
      <c r="F79" s="76">
        <f t="shared" si="24"/>
        <v>0</v>
      </c>
      <c r="G79" s="76">
        <f t="shared" si="24"/>
        <v>0</v>
      </c>
      <c r="H79" s="76">
        <f t="shared" si="24"/>
        <v>0</v>
      </c>
    </row>
    <row r="80" spans="1:12" ht="15.75" customHeight="1" x14ac:dyDescent="0.25">
      <c r="A80" s="74" t="str">
        <f>A43</f>
        <v>Bajra</v>
      </c>
      <c r="B80" s="76"/>
      <c r="C80" s="76"/>
      <c r="D80" s="76"/>
      <c r="E80" s="76"/>
      <c r="F80" s="76"/>
      <c r="G80" s="76"/>
      <c r="H80" s="76"/>
    </row>
    <row r="81" spans="1:8" ht="15.75" customHeight="1" x14ac:dyDescent="0.25">
      <c r="A81" s="74"/>
      <c r="B81" s="76"/>
      <c r="C81" s="76"/>
      <c r="D81" s="76"/>
      <c r="E81" s="76"/>
      <c r="F81" s="76"/>
      <c r="G81" s="76"/>
      <c r="H81" s="76"/>
    </row>
    <row r="82" spans="1:8" ht="15.75" customHeight="1" x14ac:dyDescent="0.25">
      <c r="A82" s="74"/>
      <c r="B82" s="76"/>
      <c r="C82" s="76"/>
      <c r="D82" s="76"/>
      <c r="E82" s="76"/>
      <c r="F82" s="76"/>
      <c r="G82" s="76"/>
      <c r="H82" s="76"/>
    </row>
    <row r="83" spans="1:8" ht="15.75" customHeight="1" x14ac:dyDescent="0.25">
      <c r="A83" s="74" t="str">
        <f>A44</f>
        <v>Jawar</v>
      </c>
      <c r="B83" s="76"/>
      <c r="C83" s="76"/>
      <c r="D83" s="76"/>
      <c r="E83" s="76"/>
      <c r="F83" s="76"/>
      <c r="G83" s="76"/>
      <c r="H83" s="76"/>
    </row>
    <row r="84" spans="1:8" ht="15.75" customHeight="1" x14ac:dyDescent="0.25">
      <c r="A84" s="74"/>
      <c r="B84" s="76"/>
      <c r="C84" s="76"/>
      <c r="D84" s="76"/>
      <c r="E84" s="76"/>
      <c r="F84" s="76"/>
      <c r="G84" s="76"/>
      <c r="H84" s="76"/>
    </row>
    <row r="85" spans="1:8" ht="15.75" customHeight="1" x14ac:dyDescent="0.25">
      <c r="A85" s="74"/>
      <c r="B85" s="76"/>
      <c r="C85" s="76"/>
      <c r="D85" s="76"/>
      <c r="E85" s="76"/>
      <c r="F85" s="76"/>
      <c r="G85" s="76"/>
      <c r="H85" s="76"/>
    </row>
    <row r="86" spans="1:8" ht="15.75" customHeight="1" x14ac:dyDescent="0.25">
      <c r="A86" s="74"/>
      <c r="B86" s="76"/>
      <c r="C86" s="76"/>
      <c r="D86" s="76"/>
      <c r="E86" s="76"/>
      <c r="F86" s="76"/>
      <c r="G86" s="76"/>
      <c r="H86" s="76"/>
    </row>
    <row r="87" spans="1:8" ht="15.75" customHeight="1" x14ac:dyDescent="0.25">
      <c r="A87" s="74" t="str">
        <f>A45</f>
        <v>Sunflower</v>
      </c>
      <c r="B87" s="76"/>
      <c r="C87" s="76"/>
      <c r="D87" s="76"/>
      <c r="E87" s="76"/>
      <c r="F87" s="76"/>
      <c r="G87" s="76"/>
      <c r="H87" s="76"/>
    </row>
    <row r="88" spans="1:8" ht="15.75" customHeight="1" x14ac:dyDescent="0.25">
      <c r="A88" s="74"/>
      <c r="B88" s="76"/>
      <c r="C88" s="76"/>
      <c r="D88" s="76"/>
      <c r="E88" s="76"/>
      <c r="F88" s="76"/>
      <c r="G88" s="76"/>
      <c r="H88" s="76"/>
    </row>
    <row r="89" spans="1:8" ht="15.75" customHeight="1" x14ac:dyDescent="0.25">
      <c r="A89" s="74"/>
      <c r="B89" s="76"/>
      <c r="C89" s="76"/>
      <c r="D89" s="76"/>
      <c r="E89" s="76"/>
      <c r="F89" s="76"/>
      <c r="G89" s="76"/>
      <c r="H89" s="76"/>
    </row>
    <row r="90" spans="1:8" ht="15.75" customHeight="1" x14ac:dyDescent="0.25">
      <c r="A90" s="74"/>
      <c r="B90" s="76"/>
      <c r="C90" s="76"/>
      <c r="D90" s="76"/>
      <c r="E90" s="76"/>
      <c r="F90" s="76"/>
      <c r="G90" s="76"/>
      <c r="H90" s="76"/>
    </row>
    <row r="91" spans="1:8" ht="15.75" customHeight="1" x14ac:dyDescent="0.25">
      <c r="A91" s="74" t="str">
        <f>A46</f>
        <v>Wheat</v>
      </c>
      <c r="B91" s="76"/>
      <c r="C91" s="76"/>
      <c r="D91" s="76"/>
      <c r="E91" s="76"/>
      <c r="F91" s="76"/>
      <c r="G91" s="76"/>
      <c r="H91" s="76"/>
    </row>
    <row r="92" spans="1:8" ht="15.75" customHeight="1" x14ac:dyDescent="0.25">
      <c r="A92" s="74"/>
      <c r="B92" s="76"/>
      <c r="C92" s="76"/>
      <c r="D92" s="76"/>
      <c r="E92" s="76"/>
      <c r="F92" s="76"/>
      <c r="G92" s="76"/>
      <c r="H92" s="76"/>
    </row>
    <row r="93" spans="1:8" ht="15.75" customHeight="1" x14ac:dyDescent="0.25">
      <c r="A93" s="74"/>
      <c r="B93" s="76"/>
      <c r="C93" s="76"/>
      <c r="D93" s="76"/>
      <c r="E93" s="76"/>
      <c r="F93" s="76"/>
      <c r="G93" s="76"/>
      <c r="H93" s="76"/>
    </row>
    <row r="94" spans="1:8" ht="15.75" customHeight="1" x14ac:dyDescent="0.25">
      <c r="A94" s="74" t="str">
        <f>A47</f>
        <v>Bengal Gram/Channa</v>
      </c>
      <c r="B94" s="76"/>
      <c r="C94" s="76"/>
      <c r="D94" s="76"/>
      <c r="E94" s="76"/>
      <c r="F94" s="76"/>
      <c r="G94" s="76"/>
      <c r="H94" s="76"/>
    </row>
    <row r="95" spans="1:8" ht="15.75" customHeight="1" x14ac:dyDescent="0.25">
      <c r="A95" s="74" t="s">
        <v>609</v>
      </c>
      <c r="B95" s="76">
        <f t="shared" ref="B95:H95" si="25">B47*80%</f>
        <v>0</v>
      </c>
      <c r="C95" s="76">
        <f t="shared" si="25"/>
        <v>0</v>
      </c>
      <c r="D95" s="76">
        <f t="shared" si="25"/>
        <v>0</v>
      </c>
      <c r="E95" s="76">
        <f t="shared" si="25"/>
        <v>0</v>
      </c>
      <c r="F95" s="76">
        <f t="shared" si="25"/>
        <v>0</v>
      </c>
      <c r="G95" s="76">
        <f t="shared" si="25"/>
        <v>0</v>
      </c>
      <c r="H95" s="76">
        <f t="shared" si="25"/>
        <v>0</v>
      </c>
    </row>
    <row r="96" spans="1:8" ht="15.75" customHeight="1" x14ac:dyDescent="0.25">
      <c r="A96" s="74" t="s">
        <v>610</v>
      </c>
      <c r="B96" s="76">
        <f t="shared" ref="B96:H96" si="26">B47*20%</f>
        <v>0</v>
      </c>
      <c r="C96" s="76">
        <f t="shared" si="26"/>
        <v>0</v>
      </c>
      <c r="D96" s="76">
        <f t="shared" si="26"/>
        <v>0</v>
      </c>
      <c r="E96" s="76">
        <f t="shared" si="26"/>
        <v>0</v>
      </c>
      <c r="F96" s="76">
        <f t="shared" si="26"/>
        <v>0</v>
      </c>
      <c r="G96" s="76">
        <f t="shared" si="26"/>
        <v>0</v>
      </c>
      <c r="H96" s="76">
        <f t="shared" si="26"/>
        <v>0</v>
      </c>
    </row>
    <row r="97" spans="1:8" ht="15.75" customHeight="1" x14ac:dyDescent="0.25">
      <c r="A97" s="74" t="str">
        <f>A48</f>
        <v>Jawar</v>
      </c>
      <c r="B97" s="76"/>
      <c r="C97" s="76"/>
      <c r="D97" s="76"/>
      <c r="E97" s="76"/>
      <c r="F97" s="76"/>
      <c r="G97" s="76"/>
      <c r="H97" s="76"/>
    </row>
    <row r="98" spans="1:8" ht="15.75" customHeight="1" x14ac:dyDescent="0.25">
      <c r="A98" s="74"/>
      <c r="B98" s="76"/>
      <c r="C98" s="76"/>
      <c r="D98" s="76"/>
      <c r="E98" s="76"/>
      <c r="F98" s="76"/>
      <c r="G98" s="76"/>
      <c r="H98" s="76"/>
    </row>
    <row r="99" spans="1:8" ht="15.75" customHeight="1" x14ac:dyDescent="0.25">
      <c r="A99" s="74"/>
      <c r="B99" s="76"/>
      <c r="C99" s="76"/>
      <c r="D99" s="76"/>
      <c r="E99" s="76"/>
      <c r="F99" s="76"/>
      <c r="G99" s="76"/>
      <c r="H99" s="76"/>
    </row>
    <row r="100" spans="1:8" ht="15.75" customHeight="1" x14ac:dyDescent="0.25">
      <c r="A100" s="74" t="str">
        <f>A49</f>
        <v>Maize</v>
      </c>
      <c r="B100" s="76"/>
      <c r="C100" s="76"/>
      <c r="D100" s="76"/>
      <c r="E100" s="76"/>
      <c r="F100" s="76"/>
      <c r="G100" s="76"/>
      <c r="H100" s="76"/>
    </row>
    <row r="101" spans="1:8" ht="15.75" customHeight="1" x14ac:dyDescent="0.25">
      <c r="A101" s="74" t="s">
        <v>703</v>
      </c>
      <c r="B101" s="76">
        <f>B41*80%*0</f>
        <v>0</v>
      </c>
      <c r="C101" s="76">
        <f t="shared" ref="C101:H101" si="27">C41*80%*0</f>
        <v>0</v>
      </c>
      <c r="D101" s="76">
        <f t="shared" si="27"/>
        <v>0</v>
      </c>
      <c r="E101" s="76">
        <f t="shared" si="27"/>
        <v>0</v>
      </c>
      <c r="F101" s="76">
        <f t="shared" si="27"/>
        <v>0</v>
      </c>
      <c r="G101" s="76">
        <f t="shared" si="27"/>
        <v>0</v>
      </c>
      <c r="H101" s="76">
        <f t="shared" si="27"/>
        <v>0</v>
      </c>
    </row>
    <row r="102" spans="1:8" ht="15.75" customHeight="1" x14ac:dyDescent="0.25">
      <c r="A102" s="74" t="s">
        <v>704</v>
      </c>
      <c r="B102" s="76">
        <f>B49*166%</f>
        <v>0</v>
      </c>
      <c r="C102" s="76">
        <f t="shared" ref="C102:H102" si="28">C49*166%</f>
        <v>0</v>
      </c>
      <c r="D102" s="76">
        <f t="shared" si="28"/>
        <v>0</v>
      </c>
      <c r="E102" s="76">
        <f t="shared" si="28"/>
        <v>0</v>
      </c>
      <c r="F102" s="76">
        <f t="shared" si="28"/>
        <v>0</v>
      </c>
      <c r="G102" s="76">
        <f t="shared" si="28"/>
        <v>0</v>
      </c>
      <c r="H102" s="76">
        <f t="shared" si="28"/>
        <v>0</v>
      </c>
    </row>
    <row r="103" spans="1:8" ht="15.75" customHeight="1" x14ac:dyDescent="0.25">
      <c r="A103" s="74" t="str">
        <f>A50</f>
        <v>Safflower</v>
      </c>
      <c r="B103" s="76"/>
      <c r="C103" s="76"/>
      <c r="D103" s="76"/>
      <c r="E103" s="76"/>
      <c r="F103" s="76"/>
      <c r="G103" s="76"/>
      <c r="H103" s="76"/>
    </row>
    <row r="104" spans="1:8" ht="15.75" customHeight="1" x14ac:dyDescent="0.25">
      <c r="A104" s="74"/>
      <c r="B104" s="76"/>
      <c r="C104" s="76"/>
      <c r="D104" s="76"/>
      <c r="E104" s="76"/>
      <c r="F104" s="76"/>
      <c r="G104" s="76"/>
      <c r="H104" s="76"/>
    </row>
    <row r="105" spans="1:8" ht="15.75" customHeight="1" x14ac:dyDescent="0.25">
      <c r="A105" s="74"/>
      <c r="B105" s="76"/>
      <c r="C105" s="76"/>
      <c r="D105" s="76"/>
      <c r="E105" s="76"/>
      <c r="F105" s="76"/>
      <c r="G105" s="76"/>
      <c r="H105" s="76"/>
    </row>
    <row r="106" spans="1:8" ht="15.75" customHeight="1" x14ac:dyDescent="0.25">
      <c r="A106" s="74">
        <f>A51</f>
        <v>0</v>
      </c>
      <c r="B106" s="76"/>
      <c r="C106" s="76"/>
      <c r="D106" s="76"/>
      <c r="E106" s="76"/>
      <c r="F106" s="76"/>
      <c r="G106" s="76"/>
      <c r="H106" s="76"/>
    </row>
    <row r="107" spans="1:8" ht="15.75" customHeight="1" x14ac:dyDescent="0.25">
      <c r="A107" s="74"/>
      <c r="B107" s="76"/>
      <c r="C107" s="76"/>
      <c r="D107" s="76"/>
      <c r="E107" s="76"/>
      <c r="F107" s="76"/>
      <c r="G107" s="76"/>
      <c r="H107" s="76"/>
    </row>
    <row r="108" spans="1:8" ht="15.75" customHeight="1" x14ac:dyDescent="0.25">
      <c r="A108" s="74"/>
      <c r="B108" s="76"/>
      <c r="C108" s="76"/>
      <c r="D108" s="76"/>
      <c r="E108" s="76"/>
      <c r="F108" s="76"/>
      <c r="G108" s="76"/>
      <c r="H108" s="76"/>
    </row>
    <row r="109" spans="1:8" ht="15.75" customHeight="1" x14ac:dyDescent="0.25">
      <c r="A109" s="74">
        <f>A52</f>
        <v>0</v>
      </c>
      <c r="B109" s="76"/>
      <c r="C109" s="76"/>
      <c r="D109" s="76"/>
      <c r="E109" s="76"/>
      <c r="F109" s="76"/>
      <c r="G109" s="76"/>
      <c r="H109" s="76"/>
    </row>
    <row r="110" spans="1:8" ht="15.75" customHeight="1" x14ac:dyDescent="0.25">
      <c r="A110" s="74"/>
      <c r="B110" s="76"/>
      <c r="C110" s="76"/>
      <c r="D110" s="76"/>
      <c r="E110" s="76"/>
      <c r="F110" s="76"/>
      <c r="G110" s="76"/>
      <c r="H110" s="76"/>
    </row>
    <row r="111" spans="1:8" ht="15.75" customHeight="1" x14ac:dyDescent="0.25">
      <c r="A111" s="74"/>
      <c r="B111" s="76"/>
      <c r="C111" s="76"/>
      <c r="D111" s="76"/>
      <c r="E111" s="76"/>
      <c r="F111" s="76"/>
      <c r="G111" s="76"/>
      <c r="H111" s="76"/>
    </row>
    <row r="112" spans="1:8" ht="15.75" customHeight="1" x14ac:dyDescent="0.25">
      <c r="A112" s="74">
        <f>A53</f>
        <v>0</v>
      </c>
      <c r="B112" s="76"/>
      <c r="C112" s="76"/>
      <c r="D112" s="76"/>
      <c r="E112" s="76"/>
      <c r="F112" s="76"/>
      <c r="G112" s="76"/>
      <c r="H112" s="76"/>
    </row>
    <row r="113" spans="1:8" ht="15.75" customHeight="1" x14ac:dyDescent="0.25">
      <c r="A113" s="74"/>
      <c r="B113" s="76"/>
      <c r="C113" s="76"/>
      <c r="D113" s="76"/>
      <c r="E113" s="76"/>
      <c r="F113" s="76"/>
      <c r="G113" s="76"/>
      <c r="H113" s="76"/>
    </row>
    <row r="114" spans="1:8" ht="15.75" customHeight="1" x14ac:dyDescent="0.25">
      <c r="A114" s="74"/>
      <c r="B114" s="76"/>
      <c r="C114" s="76"/>
      <c r="D114" s="76"/>
      <c r="E114" s="76"/>
      <c r="F114" s="76"/>
      <c r="G114" s="76"/>
      <c r="H114" s="76"/>
    </row>
    <row r="115" spans="1:8" ht="15.75" customHeight="1" x14ac:dyDescent="0.25">
      <c r="A115" s="74" t="str">
        <f>A54</f>
        <v>Turmeric</v>
      </c>
      <c r="B115" s="76"/>
      <c r="C115" s="76"/>
      <c r="D115" s="76"/>
      <c r="E115" s="76"/>
      <c r="F115" s="76"/>
      <c r="G115" s="76"/>
      <c r="H115" s="76"/>
    </row>
    <row r="116" spans="1:8" ht="15.75" customHeight="1" x14ac:dyDescent="0.25">
      <c r="A116" s="74"/>
      <c r="B116" s="76"/>
      <c r="C116" s="76"/>
      <c r="D116" s="76"/>
      <c r="E116" s="76"/>
      <c r="F116" s="76"/>
      <c r="G116" s="76"/>
      <c r="H116" s="76"/>
    </row>
    <row r="117" spans="1:8" ht="15.75" customHeight="1" x14ac:dyDescent="0.25">
      <c r="A117" s="74"/>
      <c r="B117" s="76"/>
      <c r="C117" s="76"/>
      <c r="D117" s="76"/>
      <c r="E117" s="76"/>
      <c r="F117" s="76"/>
      <c r="G117" s="76"/>
      <c r="H117" s="76"/>
    </row>
    <row r="118" spans="1:8" ht="15.75" customHeight="1" x14ac:dyDescent="0.25">
      <c r="A118" s="74">
        <f>A55</f>
        <v>0</v>
      </c>
      <c r="B118" s="76"/>
      <c r="C118" s="76"/>
      <c r="D118" s="76"/>
      <c r="E118" s="76"/>
      <c r="F118" s="76"/>
      <c r="G118" s="76"/>
      <c r="H118" s="76"/>
    </row>
    <row r="119" spans="1:8" ht="15.75" customHeight="1" x14ac:dyDescent="0.25">
      <c r="A119" s="74"/>
      <c r="B119" s="76"/>
      <c r="C119" s="76"/>
      <c r="D119" s="76"/>
      <c r="E119" s="76"/>
      <c r="F119" s="76"/>
      <c r="G119" s="76"/>
      <c r="H119" s="76"/>
    </row>
    <row r="120" spans="1:8" ht="15.75" customHeight="1" x14ac:dyDescent="0.25">
      <c r="A120" s="74"/>
      <c r="B120" s="76"/>
      <c r="C120" s="76"/>
      <c r="D120" s="76"/>
      <c r="E120" s="76"/>
      <c r="F120" s="76"/>
      <c r="G120" s="76"/>
      <c r="H120" s="76"/>
    </row>
    <row r="121" spans="1:8" ht="15.75" customHeight="1" x14ac:dyDescent="0.25">
      <c r="A121" s="74">
        <f>A56</f>
        <v>0</v>
      </c>
      <c r="B121" s="76"/>
      <c r="C121" s="76"/>
      <c r="D121" s="76"/>
      <c r="E121" s="76"/>
      <c r="F121" s="76"/>
      <c r="G121" s="76"/>
      <c r="H121" s="76"/>
    </row>
    <row r="122" spans="1:8" ht="15.75" customHeight="1" x14ac:dyDescent="0.25">
      <c r="A122" s="69"/>
      <c r="B122" s="115"/>
      <c r="C122" s="115"/>
      <c r="D122" s="115"/>
      <c r="E122" s="115"/>
      <c r="F122" s="115"/>
      <c r="G122" s="115"/>
      <c r="H122" s="115"/>
    </row>
    <row r="123" spans="1:8" ht="15.75" customHeight="1" x14ac:dyDescent="0.25">
      <c r="A123" s="69"/>
      <c r="B123" s="115"/>
      <c r="C123" s="115"/>
      <c r="D123" s="115"/>
      <c r="E123" s="115"/>
      <c r="F123" s="115"/>
      <c r="G123" s="115"/>
      <c r="H123" s="115"/>
    </row>
    <row r="124" spans="1:8" ht="15.75" customHeight="1" x14ac:dyDescent="0.25">
      <c r="A124" s="69" t="s">
        <v>611</v>
      </c>
      <c r="B124">
        <v>50</v>
      </c>
    </row>
    <row r="125" spans="1:8" ht="15.75" hidden="1" customHeight="1" x14ac:dyDescent="0.25"/>
    <row r="126" spans="1:8" ht="15.75" hidden="1" customHeight="1" x14ac:dyDescent="0.25"/>
    <row r="127" spans="1:8" ht="15.75" hidden="1" customHeight="1" x14ac:dyDescent="0.25"/>
    <row r="128" spans="1:8" ht="15.75" hidden="1" customHeight="1" x14ac:dyDescent="0.25"/>
    <row r="129" spans="1:15" ht="15.75" hidden="1" customHeight="1" x14ac:dyDescent="0.25"/>
    <row r="130" spans="1:15" ht="15.75" customHeight="1" x14ac:dyDescent="0.25"/>
    <row r="131" spans="1:15" ht="15.75" customHeight="1" x14ac:dyDescent="0.3">
      <c r="A131" s="399" t="s">
        <v>722</v>
      </c>
      <c r="B131" s="338"/>
      <c r="C131" s="338"/>
      <c r="D131" s="338"/>
      <c r="E131" s="338"/>
      <c r="F131" s="338"/>
      <c r="G131" s="338"/>
      <c r="H131" s="338"/>
      <c r="I131" s="338"/>
      <c r="J131" s="338"/>
    </row>
    <row r="132" spans="1:15" ht="15.75" customHeight="1" x14ac:dyDescent="0.25">
      <c r="A132" s="26"/>
      <c r="B132" s="26"/>
      <c r="C132" s="26"/>
      <c r="D132" s="26"/>
      <c r="E132" s="26"/>
      <c r="F132" s="26"/>
      <c r="G132" s="26"/>
      <c r="H132" s="26"/>
    </row>
    <row r="133" spans="1:15" ht="15.75" customHeight="1" x14ac:dyDescent="0.25">
      <c r="A133" s="92"/>
      <c r="B133" s="92"/>
      <c r="C133" s="92"/>
      <c r="D133" s="267">
        <v>1</v>
      </c>
      <c r="E133" s="268">
        <f t="shared" ref="E133:J133" si="29">(D133*5%)+D133</f>
        <v>1.05</v>
      </c>
      <c r="F133" s="268">
        <f t="shared" si="29"/>
        <v>1.1025</v>
      </c>
      <c r="G133" s="268">
        <f t="shared" si="29"/>
        <v>1.1576250000000001</v>
      </c>
      <c r="H133" s="268">
        <f t="shared" si="29"/>
        <v>1.2155062500000002</v>
      </c>
      <c r="I133" s="268">
        <f t="shared" si="29"/>
        <v>1.2762815625000004</v>
      </c>
      <c r="J133" s="268">
        <f t="shared" si="29"/>
        <v>1.3400956406250004</v>
      </c>
    </row>
    <row r="134" spans="1:15" ht="15.75" customHeight="1" x14ac:dyDescent="0.25">
      <c r="A134" s="69"/>
      <c r="B134" s="69"/>
      <c r="C134" s="69"/>
      <c r="D134" s="69"/>
      <c r="E134" s="69"/>
      <c r="F134" s="69"/>
      <c r="G134" s="69"/>
      <c r="H134" s="69"/>
      <c r="I134" s="69"/>
      <c r="J134" s="69"/>
    </row>
    <row r="135" spans="1:15" ht="15.75" customHeight="1" x14ac:dyDescent="0.25">
      <c r="A135" s="72" t="s">
        <v>148</v>
      </c>
      <c r="B135" s="72" t="s">
        <v>121</v>
      </c>
      <c r="C135" s="72" t="s">
        <v>131</v>
      </c>
      <c r="D135" s="73" t="s">
        <v>151</v>
      </c>
      <c r="E135" s="73" t="s">
        <v>152</v>
      </c>
      <c r="F135" s="73" t="s">
        <v>153</v>
      </c>
      <c r="G135" s="73" t="s">
        <v>154</v>
      </c>
      <c r="H135" s="73" t="s">
        <v>155</v>
      </c>
      <c r="I135" s="73" t="s">
        <v>156</v>
      </c>
      <c r="J135" s="73" t="s">
        <v>157</v>
      </c>
    </row>
    <row r="136" spans="1:15" ht="15.75" customHeight="1" x14ac:dyDescent="0.25">
      <c r="A136" s="74"/>
      <c r="B136" s="74"/>
      <c r="C136" s="74"/>
      <c r="D136" s="74"/>
      <c r="E136" s="74"/>
      <c r="F136" s="74"/>
      <c r="G136" s="74"/>
      <c r="H136" s="74"/>
      <c r="I136" s="74"/>
      <c r="J136" s="74"/>
    </row>
    <row r="137" spans="1:15" ht="15.75" customHeight="1" x14ac:dyDescent="0.25">
      <c r="A137" s="77" t="s">
        <v>348</v>
      </c>
      <c r="B137" s="77"/>
      <c r="C137" s="77"/>
      <c r="D137" s="127"/>
      <c r="E137" s="127"/>
      <c r="F137" s="127"/>
      <c r="G137" s="127"/>
      <c r="H137" s="127"/>
      <c r="I137" s="74"/>
      <c r="J137" s="74"/>
      <c r="L137">
        <f>+B59*100</f>
        <v>174562.5</v>
      </c>
      <c r="M137">
        <f>+L137/50</f>
        <v>3491.25</v>
      </c>
      <c r="N137">
        <f>1200*50</f>
        <v>60000</v>
      </c>
      <c r="O137">
        <f>+M137*N137</f>
        <v>209475000</v>
      </c>
    </row>
    <row r="138" spans="1:15" ht="15.75" customHeight="1" x14ac:dyDescent="0.25">
      <c r="A138" s="335" t="s">
        <v>720</v>
      </c>
      <c r="B138" s="77"/>
      <c r="C138" s="77"/>
      <c r="D138" s="74"/>
      <c r="E138" s="74"/>
      <c r="F138" s="74"/>
      <c r="G138" s="74"/>
      <c r="H138" s="74"/>
      <c r="I138" s="74"/>
      <c r="J138" s="74"/>
    </row>
    <row r="139" spans="1:15" ht="15.75" customHeight="1" x14ac:dyDescent="0.25">
      <c r="A139" s="305" t="s">
        <v>720</v>
      </c>
      <c r="B139" s="50" t="s">
        <v>612</v>
      </c>
      <c r="C139" s="50">
        <v>8200</v>
      </c>
      <c r="D139" s="76">
        <f>(((B59*100)*(1-'5.Closing Stock &amp; W Capital'!$D$17))/$B$124)*$C$139*D133</f>
        <v>27196837.5</v>
      </c>
      <c r="E139" s="76">
        <f>(((C59*100)*(1-'5.Closing Stock &amp; W Capital'!$D$17))/$B$124)*$C$139*E133</f>
        <v>31412347.3125</v>
      </c>
      <c r="F139" s="76">
        <f>(((D59*100)*(1-'5.Closing Stock &amp; W Capital'!$D$17))/$B$124)*$C$139*F133</f>
        <v>35981416.01250001</v>
      </c>
      <c r="G139" s="76">
        <f>(((E59*100)*(1-'5.Closing Stock &amp; W Capital'!$D$17))/$B$124)*$C$139*G133</f>
        <v>40928860.714218765</v>
      </c>
      <c r="H139" s="76">
        <f>(((F59*100)*(1-'5.Closing Stock &amp; W Capital'!$D$17))/$B$124)*$C$139*H133</f>
        <v>46281096.346078143</v>
      </c>
      <c r="I139" s="76">
        <f>(((G59*100)*(1-'5.Closing Stock &amp; W Capital'!$D$17))/$B$124)*$C$139*I133</f>
        <v>52066233.389337912</v>
      </c>
      <c r="J139" s="76">
        <f>(((H59*100)*(1-'5.Closing Stock &amp; W Capital'!$D$17))/$B$124)*$C$139*J133</f>
        <v>58314181.396058485</v>
      </c>
      <c r="L139">
        <v>190</v>
      </c>
      <c r="M139">
        <v>100</v>
      </c>
    </row>
    <row r="140" spans="1:15" ht="15.75" customHeight="1" x14ac:dyDescent="0.25">
      <c r="A140" s="305" t="s">
        <v>720</v>
      </c>
      <c r="B140" s="306" t="s">
        <v>721</v>
      </c>
      <c r="C140" s="50">
        <v>200</v>
      </c>
      <c r="D140" s="76">
        <f>((((B60+(B74+B102))*100)*(1-'5.Closing Stock &amp; W Capital'!$D$17))/B124)*$C$140*D133</f>
        <v>0</v>
      </c>
      <c r="E140" s="76">
        <f>(((((C60+(C74+C102)*0)*100)*(1-'5.Closing Stock &amp; W Capital'!$D$17))+(((B60+B74+B102)*100)*'5.Closing Stock &amp; W Capital'!$D$17))/$B$124)*$C$140*E133</f>
        <v>0</v>
      </c>
      <c r="F140" s="76">
        <f>(((((D60+(D74+D102)*0)*100)*(1-'5.Closing Stock &amp; W Capital'!$D$17))+(((C60+C74+C102)*100)*'5.Closing Stock &amp; W Capital'!$D$17))/$B$124)*$C$140*F133</f>
        <v>0</v>
      </c>
      <c r="G140" s="76">
        <f>(((((E60+(E74+E102)*0)*100)*(1-'5.Closing Stock &amp; W Capital'!$D$17))+(((D60+D74+D102)*100)*'5.Closing Stock &amp; W Capital'!$D$17))/$B$124)*$C$140*G133</f>
        <v>0</v>
      </c>
      <c r="H140" s="76">
        <f>(((((F60+(F74+F102)*0)*100)*(1-'5.Closing Stock &amp; W Capital'!$D$17))+(((E60+E74+E102)*100)*'5.Closing Stock &amp; W Capital'!$D$17))/$B$124)*$C$140*H133</f>
        <v>0</v>
      </c>
      <c r="I140" s="76">
        <f>(((((G60+(G74+G102)*0)*100)*(1-'5.Closing Stock &amp; W Capital'!$D$17))+(((F60+F74+F102)*100)*'5.Closing Stock &amp; W Capital'!$D$17))/$B$124)*$C$140*I133</f>
        <v>0</v>
      </c>
      <c r="J140" s="76">
        <f>(((((H60+(H74+H102)*0)*100)*(1-'5.Closing Stock &amp; W Capital'!$D$17))+(((G60+G74+G102)*100)*'5.Closing Stock &amp; W Capital'!$D$17))/$B$124)*$C$140*J133</f>
        <v>0</v>
      </c>
      <c r="L140">
        <f>+L139*M140/M139</f>
        <v>1900</v>
      </c>
      <c r="M140">
        <v>1000</v>
      </c>
    </row>
    <row r="141" spans="1:15" ht="15.75" customHeight="1" x14ac:dyDescent="0.25">
      <c r="A141" s="74"/>
      <c r="B141" s="50"/>
      <c r="C141" s="50"/>
      <c r="D141" s="76">
        <f>(((B61*100)*(1-'5.Closing Stock &amp; W Capital'!D17))/$B$124)*$C$141*D133</f>
        <v>0</v>
      </c>
      <c r="E141" s="76">
        <f>((((C61*100)*(1-'5.Closing Stock &amp; W Capital'!$D$17))+((B61*100)*'5.Closing Stock &amp; W Capital'!$D$17))/$B$124)*$C$141*E133</f>
        <v>0</v>
      </c>
      <c r="F141" s="76">
        <f>((((D61*100)*(1-'5.Closing Stock &amp; W Capital'!$D$17))+((C61*100)*'5.Closing Stock &amp; W Capital'!$D$17))/$B$124)*$C$141*F133</f>
        <v>0</v>
      </c>
      <c r="G141" s="76">
        <f>((((E61*100)*(1-'5.Closing Stock &amp; W Capital'!$D$17))+((D61*100)*'5.Closing Stock &amp; W Capital'!$D$17))/$B$124)*$C$141*G133</f>
        <v>0</v>
      </c>
      <c r="H141" s="76">
        <f>((((F61*100)*(1-'5.Closing Stock &amp; W Capital'!$D$17))+((E61*100)*'5.Closing Stock &amp; W Capital'!$D$17))/$B$124)*$C$141*H133</f>
        <v>0</v>
      </c>
      <c r="I141" s="76">
        <f>((((G61*100)*(1-'5.Closing Stock &amp; W Capital'!$D$17))+((F61*100)*'5.Closing Stock &amp; W Capital'!$D$17))/$B$124)*$C$141*I133</f>
        <v>0</v>
      </c>
      <c r="J141" s="76">
        <f>((((H61*100)*(1-'5.Closing Stock &amp; W Capital'!$D$17))+((G61*100)*'5.Closing Stock &amp; W Capital'!$D$17))/$B$124)*$C$141*J133</f>
        <v>0</v>
      </c>
      <c r="N141">
        <f>50*70</f>
        <v>3500</v>
      </c>
    </row>
    <row r="142" spans="1:15" ht="15.75" customHeight="1" x14ac:dyDescent="0.25">
      <c r="A142" s="74"/>
      <c r="B142" s="50"/>
      <c r="C142" s="50"/>
      <c r="D142" s="76">
        <f>(((B70*100)*(1-'5.Closing Stock &amp; W Capital'!D17))/B124)*$C$142*D133</f>
        <v>0</v>
      </c>
      <c r="E142" s="76">
        <f>((((C70*100)*(1-'5.Closing Stock &amp; W Capital'!$D$17))+((B70*100)*'5.Closing Stock &amp; W Capital'!$D$17))/$B$124)*$C$142*E133</f>
        <v>0</v>
      </c>
      <c r="F142" s="76">
        <f>((((D70*100)*(1-'5.Closing Stock &amp; W Capital'!$D$17))+((C70*100)*'5.Closing Stock &amp; W Capital'!$D$17))/$B$124)*$C$142*F133</f>
        <v>0</v>
      </c>
      <c r="G142" s="76">
        <f>((((E70*100)*(1-'5.Closing Stock &amp; W Capital'!$D$17))+((D70*100)*'5.Closing Stock &amp; W Capital'!$D$17))/$B$124)*$C$142*G133</f>
        <v>0</v>
      </c>
      <c r="H142" s="76">
        <f>((((F70*100)*(1-'5.Closing Stock &amp; W Capital'!$D$17))+((E70*100)*'5.Closing Stock &amp; W Capital'!$D$17))/$B$124)*$C$142*H133</f>
        <v>0</v>
      </c>
      <c r="I142" s="76">
        <f>((((G70*100)*(1-'5.Closing Stock &amp; W Capital'!$D$17))+((F70*100)*'5.Closing Stock &amp; W Capital'!$D$17))/$B$124)*$C$142*I133</f>
        <v>0</v>
      </c>
      <c r="J142" s="76">
        <f>((((H70*100)*(1-'5.Closing Stock &amp; W Capital'!$D$17))+((G70*100)*'5.Closing Stock &amp; W Capital'!$D$17))/$B$124)*$C$142*J133</f>
        <v>0</v>
      </c>
      <c r="L142">
        <f>+L140*M142</f>
        <v>95000</v>
      </c>
      <c r="M142">
        <v>50</v>
      </c>
    </row>
    <row r="143" spans="1:15" ht="15.75" customHeight="1" x14ac:dyDescent="0.25">
      <c r="A143" s="74"/>
      <c r="B143" s="74"/>
      <c r="C143" s="74"/>
      <c r="D143" s="76"/>
      <c r="E143" s="76"/>
      <c r="F143" s="76"/>
      <c r="G143" s="76"/>
      <c r="H143" s="76"/>
      <c r="I143" s="76"/>
      <c r="J143" s="76"/>
    </row>
    <row r="144" spans="1:15" ht="15.75" customHeight="1" x14ac:dyDescent="0.25">
      <c r="A144" s="77" t="s">
        <v>610</v>
      </c>
      <c r="B144" s="55" t="s">
        <v>613</v>
      </c>
      <c r="C144" s="55">
        <v>10</v>
      </c>
      <c r="D144" s="76">
        <f t="shared" ref="D144:J144" si="30">((B63+B95+B78+B70)*100)*$C$144*D133</f>
        <v>0</v>
      </c>
      <c r="E144" s="76">
        <f t="shared" si="30"/>
        <v>0</v>
      </c>
      <c r="F144" s="76">
        <f t="shared" si="30"/>
        <v>0</v>
      </c>
      <c r="G144" s="76">
        <f t="shared" si="30"/>
        <v>0</v>
      </c>
      <c r="H144" s="76">
        <f t="shared" si="30"/>
        <v>0</v>
      </c>
      <c r="I144" s="76">
        <f t="shared" si="30"/>
        <v>0</v>
      </c>
      <c r="J144" s="76">
        <f t="shared" si="30"/>
        <v>0</v>
      </c>
    </row>
    <row r="145" spans="1:11" ht="15.75" customHeight="1" x14ac:dyDescent="0.25">
      <c r="A145" s="74"/>
      <c r="B145" s="50"/>
      <c r="C145" s="50"/>
      <c r="D145" s="76"/>
      <c r="E145" s="76"/>
      <c r="F145" s="76"/>
      <c r="G145" s="76"/>
      <c r="H145" s="76"/>
      <c r="I145" s="76"/>
      <c r="J145" s="76"/>
      <c r="K145" s="274">
        <f>[1]Output!T58*70*K133</f>
        <v>0</v>
      </c>
    </row>
    <row r="146" spans="1:11" ht="15.75" customHeight="1" x14ac:dyDescent="0.25">
      <c r="A146" s="77" t="s">
        <v>587</v>
      </c>
      <c r="B146" s="55" t="s">
        <v>613</v>
      </c>
      <c r="C146" s="50">
        <v>6</v>
      </c>
      <c r="D146" s="76">
        <f>(B35*100)*$C$146*D133</f>
        <v>367500</v>
      </c>
      <c r="E146" s="76">
        <f t="shared" ref="E146:J146" si="31">(C35*100)*$C$146*E133</f>
        <v>424462.5</v>
      </c>
      <c r="F146" s="76">
        <f t="shared" si="31"/>
        <v>486202.50000000012</v>
      </c>
      <c r="G146" s="76">
        <f t="shared" si="31"/>
        <v>553055.34375000023</v>
      </c>
      <c r="H146" s="76">
        <f t="shared" si="31"/>
        <v>625377.9656250003</v>
      </c>
      <c r="I146" s="76">
        <f t="shared" si="31"/>
        <v>703550.21132812544</v>
      </c>
      <c r="J146" s="76">
        <f t="shared" si="31"/>
        <v>787976.23668750061</v>
      </c>
    </row>
    <row r="147" spans="1:11" ht="15.75" customHeight="1" x14ac:dyDescent="0.25">
      <c r="A147" s="74"/>
      <c r="B147" s="74"/>
      <c r="C147" s="74"/>
      <c r="D147" s="76"/>
      <c r="E147" s="76"/>
      <c r="F147" s="76"/>
      <c r="G147" s="76"/>
      <c r="H147" s="76"/>
      <c r="I147" s="76"/>
      <c r="J147" s="76"/>
    </row>
    <row r="148" spans="1:11" ht="15.75" customHeight="1" x14ac:dyDescent="0.25">
      <c r="A148" s="77" t="s">
        <v>348</v>
      </c>
      <c r="B148" s="77"/>
      <c r="C148" s="77"/>
      <c r="D148" s="78">
        <f t="shared" ref="D148:J148" si="32">SUM(D139:D146)</f>
        <v>27564337.5</v>
      </c>
      <c r="E148" s="78">
        <f t="shared" si="32"/>
        <v>31836809.8125</v>
      </c>
      <c r="F148" s="78">
        <f t="shared" si="32"/>
        <v>36467618.51250001</v>
      </c>
      <c r="G148" s="78">
        <f t="shared" si="32"/>
        <v>41481916.057968765</v>
      </c>
      <c r="H148" s="78">
        <f t="shared" si="32"/>
        <v>46906474.311703146</v>
      </c>
      <c r="I148" s="78">
        <f t="shared" si="32"/>
        <v>52769783.600666039</v>
      </c>
      <c r="J148" s="78">
        <f t="shared" si="32"/>
        <v>59102157.632745989</v>
      </c>
    </row>
    <row r="149" spans="1:11" ht="15.75" customHeight="1" x14ac:dyDescent="0.25">
      <c r="A149" s="74"/>
      <c r="B149" s="74"/>
      <c r="C149" s="74"/>
      <c r="D149" s="76"/>
      <c r="E149" s="76"/>
      <c r="F149" s="76"/>
      <c r="G149" s="76"/>
      <c r="H149" s="76"/>
      <c r="I149" s="76"/>
      <c r="J149" s="76"/>
    </row>
    <row r="150" spans="1:11" ht="15.75" customHeight="1" x14ac:dyDescent="0.25">
      <c r="A150" s="77" t="s">
        <v>588</v>
      </c>
      <c r="B150" s="77"/>
      <c r="C150" s="77"/>
      <c r="D150" s="76"/>
      <c r="E150" s="76"/>
      <c r="F150" s="76"/>
      <c r="G150" s="76"/>
      <c r="H150" s="76"/>
      <c r="I150" s="76"/>
      <c r="J150" s="76"/>
    </row>
    <row r="151" spans="1:11" ht="15.75" customHeight="1" x14ac:dyDescent="0.25">
      <c r="A151" s="77" t="s">
        <v>355</v>
      </c>
      <c r="B151" s="77"/>
      <c r="C151" s="74"/>
      <c r="D151" s="76"/>
      <c r="E151" s="76"/>
      <c r="F151" s="76"/>
      <c r="G151" s="76"/>
      <c r="H151" s="76"/>
      <c r="I151" s="76"/>
      <c r="J151" s="76"/>
    </row>
    <row r="152" spans="1:11" ht="15.75" customHeight="1" x14ac:dyDescent="0.25">
      <c r="A152" s="305" t="s">
        <v>718</v>
      </c>
      <c r="B152" s="50" t="s">
        <v>586</v>
      </c>
      <c r="C152" s="75">
        <v>5500</v>
      </c>
      <c r="D152" s="76">
        <f>(B30)*$C$152*D133</f>
        <v>13475000</v>
      </c>
      <c r="E152" s="76">
        <f>(C30)*$C$152*E133</f>
        <v>15563625</v>
      </c>
      <c r="F152" s="76">
        <f t="shared" ref="F152:J152" si="33">(D30)*$C$152*F133</f>
        <v>17827425.000000004</v>
      </c>
      <c r="G152" s="76">
        <f t="shared" si="33"/>
        <v>20278695.937500007</v>
      </c>
      <c r="H152" s="76">
        <f t="shared" si="33"/>
        <v>22930525.406250007</v>
      </c>
      <c r="I152" s="76">
        <f t="shared" si="33"/>
        <v>25796841.082031261</v>
      </c>
      <c r="J152" s="76">
        <f t="shared" si="33"/>
        <v>28892462.011875018</v>
      </c>
    </row>
    <row r="153" spans="1:11" ht="15.75" customHeight="1" x14ac:dyDescent="0.25">
      <c r="A153" s="74" t="s">
        <v>523</v>
      </c>
      <c r="B153" s="50" t="s">
        <v>586</v>
      </c>
      <c r="C153" s="75"/>
      <c r="D153" s="76">
        <f>(B17)*$C$153*D133</f>
        <v>0</v>
      </c>
      <c r="E153" s="76">
        <f t="shared" ref="E153:J153" si="34">(C17)*$C$153*E133</f>
        <v>0</v>
      </c>
      <c r="F153" s="76">
        <f t="shared" si="34"/>
        <v>0</v>
      </c>
      <c r="G153" s="76">
        <f t="shared" si="34"/>
        <v>0</v>
      </c>
      <c r="H153" s="76">
        <f t="shared" si="34"/>
        <v>0</v>
      </c>
      <c r="I153" s="76">
        <f t="shared" si="34"/>
        <v>0</v>
      </c>
      <c r="J153" s="76">
        <f t="shared" si="34"/>
        <v>0</v>
      </c>
    </row>
    <row r="154" spans="1:11" ht="15.75" customHeight="1" x14ac:dyDescent="0.25">
      <c r="A154" s="74" t="s">
        <v>523</v>
      </c>
      <c r="B154" s="50" t="s">
        <v>586</v>
      </c>
      <c r="C154" s="75"/>
      <c r="D154" s="76">
        <f>(B25)*$C$154*D133</f>
        <v>0</v>
      </c>
      <c r="E154" s="76">
        <f t="shared" ref="E154:J154" si="35">(C25)*$C$154*E133</f>
        <v>0</v>
      </c>
      <c r="F154" s="76">
        <f t="shared" si="35"/>
        <v>0</v>
      </c>
      <c r="G154" s="76">
        <f t="shared" si="35"/>
        <v>0</v>
      </c>
      <c r="H154" s="76">
        <f t="shared" si="35"/>
        <v>0</v>
      </c>
      <c r="I154" s="76">
        <f t="shared" si="35"/>
        <v>0</v>
      </c>
      <c r="J154" s="76">
        <f t="shared" si="35"/>
        <v>0</v>
      </c>
    </row>
    <row r="155" spans="1:11" ht="15.75" customHeight="1" x14ac:dyDescent="0.25">
      <c r="A155" s="74" t="s">
        <v>325</v>
      </c>
      <c r="B155" s="50" t="s">
        <v>586</v>
      </c>
      <c r="C155" s="75"/>
      <c r="D155" s="76">
        <f t="shared" ref="D155:J155" si="36">(B40)*$C$155*D133</f>
        <v>0</v>
      </c>
      <c r="E155" s="76">
        <f t="shared" si="36"/>
        <v>0</v>
      </c>
      <c r="F155" s="76">
        <f t="shared" si="36"/>
        <v>0</v>
      </c>
      <c r="G155" s="76">
        <f t="shared" si="36"/>
        <v>0</v>
      </c>
      <c r="H155" s="76">
        <f t="shared" si="36"/>
        <v>0</v>
      </c>
      <c r="I155" s="76">
        <f t="shared" si="36"/>
        <v>0</v>
      </c>
      <c r="J155" s="76">
        <f t="shared" si="36"/>
        <v>0</v>
      </c>
    </row>
    <row r="156" spans="1:11" ht="15.75" customHeight="1" x14ac:dyDescent="0.25">
      <c r="A156" s="74" t="s">
        <v>614</v>
      </c>
      <c r="B156" s="50">
        <v>2</v>
      </c>
      <c r="C156" s="50">
        <v>100</v>
      </c>
      <c r="D156" s="76">
        <f>(B32/10)*$B$156*$C$156*D133*0</f>
        <v>0</v>
      </c>
      <c r="E156" s="76">
        <f t="shared" ref="E156:J156" si="37">(C32/10)*$B$156*$C$156*E133*0</f>
        <v>0</v>
      </c>
      <c r="F156" s="76">
        <f t="shared" si="37"/>
        <v>0</v>
      </c>
      <c r="G156" s="76">
        <f t="shared" si="37"/>
        <v>0</v>
      </c>
      <c r="H156" s="76">
        <f t="shared" si="37"/>
        <v>0</v>
      </c>
      <c r="I156" s="76">
        <f t="shared" si="37"/>
        <v>0</v>
      </c>
      <c r="J156" s="76">
        <f t="shared" si="37"/>
        <v>0</v>
      </c>
    </row>
    <row r="157" spans="1:11" ht="15.75" customHeight="1" x14ac:dyDescent="0.25">
      <c r="A157" s="74" t="s">
        <v>615</v>
      </c>
      <c r="B157" s="50">
        <v>30</v>
      </c>
      <c r="C157" s="50">
        <v>300</v>
      </c>
      <c r="D157" s="76">
        <f t="shared" ref="D157:J157" si="38">B12*$B$157*$C$157*D133</f>
        <v>2756250</v>
      </c>
      <c r="E157" s="76">
        <f t="shared" si="38"/>
        <v>3183468.75</v>
      </c>
      <c r="F157" s="76">
        <f t="shared" si="38"/>
        <v>3646518.7500000005</v>
      </c>
      <c r="G157" s="76">
        <f t="shared" si="38"/>
        <v>4147915.0781250009</v>
      </c>
      <c r="H157" s="76">
        <f t="shared" si="38"/>
        <v>4690334.7421875019</v>
      </c>
      <c r="I157" s="76">
        <f t="shared" si="38"/>
        <v>5276626.5849609403</v>
      </c>
      <c r="J157" s="76">
        <f t="shared" si="38"/>
        <v>5909821.7751562539</v>
      </c>
    </row>
    <row r="158" spans="1:11" ht="15.75" customHeight="1" x14ac:dyDescent="0.25">
      <c r="A158" s="74" t="s">
        <v>590</v>
      </c>
      <c r="B158" s="74">
        <f>'2.Capex Details'!H47*7</f>
        <v>700</v>
      </c>
      <c r="C158" s="50">
        <v>7</v>
      </c>
      <c r="D158" s="76">
        <f>$B$158*$C$158*B12*D133</f>
        <v>1500625</v>
      </c>
      <c r="E158" s="76">
        <f t="shared" ref="E158:J158" si="39">$B$158*$C$158*C12*E133</f>
        <v>1733221.875</v>
      </c>
      <c r="F158" s="76">
        <f t="shared" si="39"/>
        <v>1985326.8750000002</v>
      </c>
      <c r="G158" s="76">
        <f t="shared" si="39"/>
        <v>2258309.3203125005</v>
      </c>
      <c r="H158" s="76">
        <f t="shared" si="39"/>
        <v>2553626.6929687508</v>
      </c>
      <c r="I158" s="76">
        <f t="shared" si="39"/>
        <v>2872830.0295898453</v>
      </c>
      <c r="J158" s="76">
        <f t="shared" si="39"/>
        <v>3217569.6331406273</v>
      </c>
    </row>
    <row r="159" spans="1:11" ht="15.75" customHeight="1" x14ac:dyDescent="0.25">
      <c r="A159" s="74" t="s">
        <v>616</v>
      </c>
      <c r="B159" s="74"/>
      <c r="C159" s="50">
        <v>25</v>
      </c>
      <c r="D159" s="76">
        <f t="shared" ref="D159:J159" si="40">((B35*100)/50)*$C$159*D133</f>
        <v>30625</v>
      </c>
      <c r="E159" s="76">
        <f t="shared" si="40"/>
        <v>35371.875</v>
      </c>
      <c r="F159" s="76">
        <f t="shared" si="40"/>
        <v>40516.875000000007</v>
      </c>
      <c r="G159" s="76">
        <f t="shared" si="40"/>
        <v>46087.945312500015</v>
      </c>
      <c r="H159" s="76">
        <f t="shared" si="40"/>
        <v>52114.830468750028</v>
      </c>
      <c r="I159" s="76">
        <f t="shared" si="40"/>
        <v>58629.184277343782</v>
      </c>
      <c r="J159" s="76">
        <f t="shared" si="40"/>
        <v>65664.686390625036</v>
      </c>
    </row>
    <row r="160" spans="1:11" ht="15.75" customHeight="1" x14ac:dyDescent="0.25">
      <c r="A160" s="191" t="s">
        <v>617</v>
      </c>
      <c r="B160" s="191"/>
      <c r="C160" s="275">
        <v>25</v>
      </c>
      <c r="D160" s="76">
        <f>(((B78+B69+B95+B59)*100)/50)*$C$160*D133</f>
        <v>87281.25</v>
      </c>
      <c r="E160" s="76">
        <f t="shared" ref="E160:J160" si="41">(((C78+C69+C95+C59)*100)/50)*$C$160*E133</f>
        <v>100809.84375</v>
      </c>
      <c r="F160" s="76">
        <f t="shared" si="41"/>
        <v>115473.09375000003</v>
      </c>
      <c r="G160" s="76">
        <f t="shared" si="41"/>
        <v>131350.64414062505</v>
      </c>
      <c r="H160" s="76">
        <f t="shared" si="41"/>
        <v>148527.26683593757</v>
      </c>
      <c r="I160" s="76">
        <f t="shared" si="41"/>
        <v>167093.17519042979</v>
      </c>
      <c r="J160" s="76">
        <f t="shared" si="41"/>
        <v>187144.3562132814</v>
      </c>
    </row>
    <row r="161" spans="1:10" ht="15.75" customHeight="1" x14ac:dyDescent="0.25">
      <c r="A161" s="74" t="s">
        <v>618</v>
      </c>
      <c r="B161" s="74"/>
      <c r="C161" s="50">
        <v>150</v>
      </c>
      <c r="D161" s="76">
        <f>(((B78+B69+B95+B30)*10))*$C$161*D133</f>
        <v>3675000</v>
      </c>
      <c r="E161" s="76">
        <f t="shared" ref="E161:J161" si="42">(((C78+C69+C95+C30)*10))*$C$161*E133</f>
        <v>4244625</v>
      </c>
      <c r="F161" s="76">
        <f t="shared" si="42"/>
        <v>4862025.0000000009</v>
      </c>
      <c r="G161" s="76">
        <f t="shared" si="42"/>
        <v>5530553.4375000019</v>
      </c>
      <c r="H161" s="76">
        <f t="shared" si="42"/>
        <v>6253779.6562500019</v>
      </c>
      <c r="I161" s="76">
        <f t="shared" si="42"/>
        <v>7035502.1132812528</v>
      </c>
      <c r="J161" s="76">
        <f t="shared" si="42"/>
        <v>7879762.366875005</v>
      </c>
    </row>
    <row r="162" spans="1:10" ht="15.75" customHeight="1" x14ac:dyDescent="0.25">
      <c r="A162" s="134"/>
      <c r="B162" s="134"/>
      <c r="C162" s="134"/>
      <c r="D162" s="134"/>
      <c r="E162" s="134"/>
      <c r="F162" s="134"/>
      <c r="G162" s="134"/>
      <c r="H162" s="134"/>
      <c r="I162" s="134"/>
      <c r="J162" s="134"/>
    </row>
    <row r="163" spans="1:10" ht="15.75" customHeight="1" x14ac:dyDescent="0.25">
      <c r="A163" s="134"/>
      <c r="B163" s="134"/>
      <c r="C163" s="134"/>
      <c r="D163" s="134"/>
      <c r="E163" s="134"/>
      <c r="F163" s="134"/>
      <c r="G163" s="134"/>
      <c r="H163" s="134"/>
      <c r="I163" s="134"/>
      <c r="J163" s="134"/>
    </row>
    <row r="164" spans="1:10" ht="15.75" customHeight="1" x14ac:dyDescent="0.25">
      <c r="A164" s="134"/>
      <c r="B164" s="134"/>
      <c r="C164" s="134"/>
      <c r="D164" s="134"/>
      <c r="E164" s="134"/>
      <c r="F164" s="134"/>
      <c r="G164" s="134"/>
      <c r="H164" s="134"/>
      <c r="I164" s="134"/>
      <c r="J164" s="134"/>
    </row>
    <row r="165" spans="1:10" ht="15.75" customHeight="1" x14ac:dyDescent="0.25">
      <c r="A165" s="134"/>
      <c r="B165" s="134"/>
      <c r="C165" s="134"/>
      <c r="D165" s="134"/>
      <c r="E165" s="134"/>
      <c r="F165" s="134"/>
      <c r="G165" s="134"/>
      <c r="H165" s="134"/>
      <c r="I165" s="134"/>
      <c r="J165" s="134"/>
    </row>
    <row r="166" spans="1:10" ht="15.75" customHeight="1" x14ac:dyDescent="0.25">
      <c r="A166" s="76" t="s">
        <v>593</v>
      </c>
      <c r="B166" s="76"/>
      <c r="C166" s="76"/>
      <c r="D166" s="76"/>
      <c r="E166" s="76">
        <f>'5.Closing Stock &amp; W Capital'!F8</f>
        <v>673750</v>
      </c>
      <c r="F166" s="76">
        <f>'5.Closing Stock &amp; W Capital'!G8</f>
        <v>778181.25</v>
      </c>
      <c r="G166" s="76">
        <f>'5.Closing Stock &amp; W Capital'!H8</f>
        <v>891371.25000000023</v>
      </c>
      <c r="H166" s="76">
        <f>'5.Closing Stock &amp; W Capital'!I8</f>
        <v>1013934.7968750005</v>
      </c>
      <c r="I166" s="76">
        <f>'5.Closing Stock &amp; W Capital'!J8</f>
        <v>1146526.2703125004</v>
      </c>
      <c r="J166" s="76">
        <f>'5.Closing Stock &amp; W Capital'!K8</f>
        <v>1289842.0541015631</v>
      </c>
    </row>
    <row r="167" spans="1:10" ht="15.75" customHeight="1" x14ac:dyDescent="0.25">
      <c r="A167" s="76" t="s">
        <v>594</v>
      </c>
      <c r="B167" s="76"/>
      <c r="C167" s="76"/>
      <c r="D167" s="76">
        <f>'5.Closing Stock &amp; W Capital'!E17</f>
        <v>673750</v>
      </c>
      <c r="E167" s="76">
        <f>'5.Closing Stock &amp; W Capital'!F17</f>
        <v>778181.25</v>
      </c>
      <c r="F167" s="76">
        <f>'5.Closing Stock &amp; W Capital'!G17</f>
        <v>891371.25000000023</v>
      </c>
      <c r="G167" s="76">
        <f>'5.Closing Stock &amp; W Capital'!H17</f>
        <v>1013934.7968750005</v>
      </c>
      <c r="H167" s="76">
        <f>'5.Closing Stock &amp; W Capital'!I17</f>
        <v>1146526.2703125004</v>
      </c>
      <c r="I167" s="76">
        <f>'5.Closing Stock &amp; W Capital'!J17</f>
        <v>1289842.0541015631</v>
      </c>
      <c r="J167" s="76">
        <f>'5.Closing Stock &amp; W Capital'!K17</f>
        <v>1444623.1005937511</v>
      </c>
    </row>
    <row r="168" spans="1:10" ht="15.75" customHeight="1" x14ac:dyDescent="0.25">
      <c r="A168" s="76"/>
      <c r="B168" s="76"/>
      <c r="C168" s="76"/>
      <c r="D168" s="76"/>
      <c r="E168" s="76"/>
      <c r="F168" s="76"/>
      <c r="G168" s="76"/>
      <c r="H168" s="76"/>
      <c r="I168" s="76"/>
      <c r="J168" s="76"/>
    </row>
    <row r="169" spans="1:10" ht="15.75" customHeight="1" x14ac:dyDescent="0.25">
      <c r="A169" s="78" t="s">
        <v>356</v>
      </c>
      <c r="B169" s="76"/>
      <c r="C169" s="76"/>
      <c r="D169" s="78">
        <f t="shared" ref="D169:J169" si="43">SUM(D152:D166)-D167</f>
        <v>20851031.25</v>
      </c>
      <c r="E169" s="78">
        <f t="shared" si="43"/>
        <v>24756691.09375</v>
      </c>
      <c r="F169" s="78">
        <f t="shared" si="43"/>
        <v>28364095.593750004</v>
      </c>
      <c r="G169" s="78">
        <f t="shared" si="43"/>
        <v>32270348.816015631</v>
      </c>
      <c r="H169" s="78">
        <f t="shared" si="43"/>
        <v>36496317.121523447</v>
      </c>
      <c r="I169" s="78">
        <f t="shared" si="43"/>
        <v>41064206.385542005</v>
      </c>
      <c r="J169" s="78">
        <f t="shared" si="43"/>
        <v>45997643.783158623</v>
      </c>
    </row>
    <row r="170" spans="1:10" ht="15.75" customHeight="1" x14ac:dyDescent="0.25">
      <c r="A170" s="69"/>
      <c r="B170" s="69"/>
      <c r="C170" s="69"/>
      <c r="D170" s="69"/>
      <c r="E170" s="69"/>
      <c r="F170" s="69"/>
      <c r="G170" s="69"/>
      <c r="H170" s="69"/>
      <c r="I170" s="69"/>
      <c r="J170" s="69"/>
    </row>
    <row r="171" spans="1:10" ht="15.75" customHeight="1" x14ac:dyDescent="0.25">
      <c r="A171" s="187" t="s">
        <v>357</v>
      </c>
      <c r="B171" s="187"/>
      <c r="C171" s="187"/>
      <c r="D171" s="78"/>
      <c r="E171" s="78"/>
      <c r="F171" s="78"/>
      <c r="G171" s="78"/>
      <c r="H171" s="78"/>
      <c r="I171" s="78"/>
      <c r="J171" s="78"/>
    </row>
    <row r="172" spans="1:10" ht="15.75" customHeight="1" x14ac:dyDescent="0.25">
      <c r="A172" s="74" t="s">
        <v>595</v>
      </c>
      <c r="B172" s="50">
        <v>3</v>
      </c>
      <c r="C172" s="75">
        <v>20000</v>
      </c>
      <c r="D172" s="76">
        <f t="shared" ref="D172:J172" si="44">$B$172*$C$172*12*D133</f>
        <v>720000</v>
      </c>
      <c r="E172" s="76">
        <f t="shared" si="44"/>
        <v>756000</v>
      </c>
      <c r="F172" s="76">
        <f t="shared" si="44"/>
        <v>793800</v>
      </c>
      <c r="G172" s="76">
        <f t="shared" si="44"/>
        <v>833490.00000000012</v>
      </c>
      <c r="H172" s="76">
        <f t="shared" si="44"/>
        <v>875164.50000000012</v>
      </c>
      <c r="I172" s="76">
        <f t="shared" si="44"/>
        <v>918922.72500000021</v>
      </c>
      <c r="J172" s="76">
        <f t="shared" si="44"/>
        <v>964868.86125000031</v>
      </c>
    </row>
    <row r="173" spans="1:10" ht="15.75" customHeight="1" x14ac:dyDescent="0.25">
      <c r="A173" s="74"/>
      <c r="B173" s="50"/>
      <c r="C173" s="75"/>
      <c r="D173" s="76"/>
      <c r="E173" s="76"/>
      <c r="F173" s="76"/>
      <c r="G173" s="76"/>
      <c r="H173" s="76"/>
      <c r="I173" s="76"/>
      <c r="J173" s="76"/>
    </row>
    <row r="174" spans="1:10" ht="15.75" customHeight="1" x14ac:dyDescent="0.25">
      <c r="A174" s="74"/>
      <c r="B174" s="50"/>
      <c r="C174" s="75"/>
      <c r="D174" s="76"/>
      <c r="E174" s="76"/>
      <c r="F174" s="76"/>
      <c r="G174" s="76"/>
      <c r="H174" s="76"/>
      <c r="I174" s="76"/>
      <c r="J174" s="76"/>
    </row>
    <row r="175" spans="1:10" ht="15.75" customHeight="1" x14ac:dyDescent="0.25">
      <c r="A175" s="74"/>
      <c r="B175" s="50"/>
      <c r="C175" s="75"/>
      <c r="D175" s="76"/>
      <c r="E175" s="76"/>
      <c r="F175" s="76"/>
      <c r="G175" s="76"/>
      <c r="H175" s="76"/>
      <c r="I175" s="76"/>
      <c r="J175" s="76"/>
    </row>
    <row r="176" spans="1:10" ht="15.75" customHeight="1" x14ac:dyDescent="0.25">
      <c r="A176" s="74"/>
      <c r="B176" s="50"/>
      <c r="C176" s="75"/>
      <c r="D176" s="76"/>
      <c r="E176" s="76"/>
      <c r="F176" s="76"/>
      <c r="G176" s="76"/>
      <c r="H176" s="76"/>
      <c r="I176" s="76"/>
      <c r="J176" s="76"/>
    </row>
    <row r="177" spans="1:10" ht="15.75" customHeight="1" x14ac:dyDescent="0.25">
      <c r="A177" s="77" t="s">
        <v>357</v>
      </c>
      <c r="B177" s="77"/>
      <c r="C177" s="77"/>
      <c r="D177" s="78">
        <f t="shared" ref="D177:J177" si="45">SUM(D172:D176)</f>
        <v>720000</v>
      </c>
      <c r="E177" s="78">
        <f t="shared" si="45"/>
        <v>756000</v>
      </c>
      <c r="F177" s="78">
        <f t="shared" si="45"/>
        <v>793800</v>
      </c>
      <c r="G177" s="78">
        <f t="shared" si="45"/>
        <v>833490.00000000012</v>
      </c>
      <c r="H177" s="78">
        <f t="shared" si="45"/>
        <v>875164.50000000012</v>
      </c>
      <c r="I177" s="78">
        <f t="shared" si="45"/>
        <v>918922.72500000021</v>
      </c>
      <c r="J177" s="78">
        <f t="shared" si="45"/>
        <v>964868.86125000031</v>
      </c>
    </row>
    <row r="178" spans="1:10" ht="15.75" customHeight="1" x14ac:dyDescent="0.25">
      <c r="A178" s="187" t="s">
        <v>619</v>
      </c>
      <c r="B178" s="187"/>
      <c r="C178" s="187"/>
      <c r="D178" s="78">
        <f t="shared" ref="D178:J178" si="46">D169+D177</f>
        <v>21571031.25</v>
      </c>
      <c r="E178" s="78">
        <f t="shared" si="46"/>
        <v>25512691.09375</v>
      </c>
      <c r="F178" s="78">
        <f t="shared" si="46"/>
        <v>29157895.593750004</v>
      </c>
      <c r="G178" s="78">
        <f t="shared" si="46"/>
        <v>33103838.816015631</v>
      </c>
      <c r="H178" s="78">
        <f t="shared" si="46"/>
        <v>37371481.621523447</v>
      </c>
      <c r="I178" s="78">
        <f t="shared" si="46"/>
        <v>41983129.110542007</v>
      </c>
      <c r="J178" s="78">
        <f t="shared" si="46"/>
        <v>46962512.644408621</v>
      </c>
    </row>
    <row r="179" spans="1:10" ht="15.75" customHeight="1" x14ac:dyDescent="0.25">
      <c r="A179" s="74"/>
      <c r="B179" s="74"/>
      <c r="C179" s="74"/>
      <c r="D179" s="76"/>
      <c r="E179" s="76"/>
      <c r="F179" s="76"/>
      <c r="G179" s="76"/>
      <c r="H179" s="76"/>
      <c r="I179" s="76"/>
      <c r="J179" s="76"/>
    </row>
    <row r="180" spans="1:10" ht="15.75" customHeight="1" x14ac:dyDescent="0.25">
      <c r="A180" s="77" t="s">
        <v>404</v>
      </c>
      <c r="B180" s="77"/>
      <c r="C180" s="77"/>
      <c r="D180" s="78">
        <f t="shared" ref="D180:J180" si="47">D148-D178</f>
        <v>5993306.25</v>
      </c>
      <c r="E180" s="78">
        <f t="shared" si="47"/>
        <v>6324118.71875</v>
      </c>
      <c r="F180" s="78">
        <f t="shared" si="47"/>
        <v>7309722.9187500067</v>
      </c>
      <c r="G180" s="78">
        <f t="shared" si="47"/>
        <v>8378077.2419531345</v>
      </c>
      <c r="H180" s="78">
        <f t="shared" si="47"/>
        <v>9534992.6901796982</v>
      </c>
      <c r="I180" s="78">
        <f t="shared" si="47"/>
        <v>10786654.490124032</v>
      </c>
      <c r="J180" s="78">
        <f t="shared" si="47"/>
        <v>12139644.988337368</v>
      </c>
    </row>
    <row r="181" spans="1:10" ht="15.75" customHeight="1" x14ac:dyDescent="0.25">
      <c r="A181" s="93"/>
      <c r="B181" s="93"/>
      <c r="C181" s="93"/>
      <c r="D181" s="69"/>
      <c r="E181" s="69"/>
      <c r="F181" s="69"/>
      <c r="G181" s="69"/>
      <c r="H181" s="69"/>
      <c r="I181" s="69"/>
      <c r="J181" s="69"/>
    </row>
    <row r="182" spans="1:10" ht="15.75" customHeight="1" x14ac:dyDescent="0.25">
      <c r="A182" s="69"/>
      <c r="B182" s="69"/>
      <c r="C182" s="69"/>
      <c r="D182" s="69"/>
      <c r="E182" s="69"/>
      <c r="F182" s="69"/>
      <c r="G182" s="69"/>
      <c r="H182" s="69"/>
      <c r="I182" s="69"/>
      <c r="J182" s="69"/>
    </row>
    <row r="183" spans="1:10" ht="15.75" customHeight="1" x14ac:dyDescent="0.25">
      <c r="A183" s="69"/>
      <c r="B183" s="69"/>
      <c r="C183" s="69"/>
      <c r="D183" s="69"/>
      <c r="E183" s="69"/>
      <c r="F183" s="69"/>
      <c r="G183" s="69"/>
      <c r="H183" s="69"/>
      <c r="I183" s="69"/>
      <c r="J183" s="69"/>
    </row>
    <row r="184" spans="1:10" ht="15.75" customHeight="1" x14ac:dyDescent="0.25">
      <c r="A184" s="356" t="s">
        <v>620</v>
      </c>
      <c r="B184" s="338"/>
      <c r="C184" s="338"/>
      <c r="D184" s="338"/>
      <c r="E184" s="338"/>
      <c r="F184" s="338"/>
      <c r="G184" s="338"/>
      <c r="H184" s="338"/>
      <c r="I184" s="338"/>
      <c r="J184" s="338"/>
    </row>
    <row r="185" spans="1:10" ht="15.75" customHeight="1" x14ac:dyDescent="0.25"/>
    <row r="186" spans="1:10" ht="15.75" customHeight="1" x14ac:dyDescent="0.25">
      <c r="A186" t="s">
        <v>312</v>
      </c>
    </row>
    <row r="187" spans="1:10" ht="15.75" customHeight="1" x14ac:dyDescent="0.25">
      <c r="A187">
        <v>1</v>
      </c>
      <c r="B187" t="s">
        <v>600</v>
      </c>
    </row>
    <row r="188" spans="1:10" ht="15.75" customHeight="1" x14ac:dyDescent="0.25">
      <c r="A188">
        <v>2</v>
      </c>
      <c r="B188" t="s">
        <v>601</v>
      </c>
    </row>
    <row r="189" spans="1:10" ht="15.75" customHeight="1" x14ac:dyDescent="0.25">
      <c r="A189">
        <v>3</v>
      </c>
      <c r="B189" s="69" t="s">
        <v>602</v>
      </c>
    </row>
  </sheetData>
  <mergeCells count="4">
    <mergeCell ref="A131:J131"/>
    <mergeCell ref="A3:H3"/>
    <mergeCell ref="A184:J184"/>
    <mergeCell ref="A4:H4"/>
  </mergeCells>
  <printOptions horizontalCentered="1"/>
  <pageMargins left="0.23622047244094491" right="0.23622047244094491" top="0.74803149606299213" bottom="0.74803149606299213" header="0.31496062992125984" footer="0.31496062992125984"/>
  <pageSetup paperSize="9" scale="70" orientation="landscape" r:id="rId1"/>
  <rowBreaks count="5" manualBreakCount="5">
    <brk id="32" max="9" man="1"/>
    <brk id="56" max="9" man="1"/>
    <brk id="86" max="9" man="1"/>
    <brk id="126" max="9" man="1"/>
    <brk id="149" max="9" man="1"/>
  </rowBreaks>
  <colBreaks count="1" manualBreakCount="1">
    <brk id="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0"/>
  <sheetViews>
    <sheetView view="pageBreakPreview" zoomScale="60" zoomScaleNormal="100" workbookViewId="0">
      <selection activeCell="A18" sqref="A18:XFD18"/>
    </sheetView>
  </sheetViews>
  <sheetFormatPr defaultColWidth="14.42578125" defaultRowHeight="15" customHeight="1" x14ac:dyDescent="0.25"/>
  <cols>
    <col min="1" max="1" width="32.7109375" customWidth="1"/>
    <col min="2" max="2" width="9.85546875" customWidth="1"/>
    <col min="3" max="3" width="11.140625" customWidth="1"/>
    <col min="4" max="10" width="9.5703125" customWidth="1"/>
    <col min="11" max="11" width="8.7109375" customWidth="1"/>
  </cols>
  <sheetData>
    <row r="2" spans="1:10" ht="18.75" x14ac:dyDescent="0.3">
      <c r="A2" s="354" t="s">
        <v>621</v>
      </c>
      <c r="B2" s="338"/>
      <c r="C2" s="338"/>
      <c r="D2" s="338"/>
      <c r="E2" s="338"/>
      <c r="F2" s="338"/>
      <c r="G2" s="338"/>
      <c r="H2" s="338"/>
    </row>
    <row r="3" spans="1:10" ht="18.75" x14ac:dyDescent="0.3">
      <c r="A3" s="354" t="s">
        <v>622</v>
      </c>
      <c r="B3" s="338"/>
      <c r="C3" s="338"/>
      <c r="D3" s="338"/>
      <c r="E3" s="338"/>
      <c r="F3" s="338"/>
      <c r="G3" s="338"/>
      <c r="H3" s="338"/>
    </row>
    <row r="4" spans="1:10" x14ac:dyDescent="0.25">
      <c r="A4" s="69" t="s">
        <v>129</v>
      </c>
      <c r="B4" s="276"/>
      <c r="C4" s="277" t="s">
        <v>623</v>
      </c>
      <c r="D4" s="277"/>
      <c r="E4" s="277"/>
      <c r="F4" s="277"/>
      <c r="G4" s="69"/>
      <c r="H4" s="69"/>
    </row>
    <row r="5" spans="1:10" x14ac:dyDescent="0.25">
      <c r="A5" s="69"/>
      <c r="B5" s="271"/>
      <c r="C5" s="69"/>
      <c r="D5" s="69"/>
      <c r="E5" s="69"/>
      <c r="F5" s="69"/>
      <c r="G5" s="69"/>
      <c r="H5" s="69"/>
    </row>
    <row r="6" spans="1:10" x14ac:dyDescent="0.25">
      <c r="A6" s="69" t="s">
        <v>624</v>
      </c>
      <c r="B6" s="278">
        <v>12</v>
      </c>
      <c r="C6" s="69"/>
      <c r="D6" s="278"/>
      <c r="E6" s="278"/>
      <c r="F6" s="69"/>
      <c r="G6" s="69"/>
      <c r="H6" s="69"/>
    </row>
    <row r="7" spans="1:10" x14ac:dyDescent="0.25">
      <c r="A7" s="69"/>
      <c r="B7" s="69"/>
      <c r="C7" s="278"/>
      <c r="D7" s="278"/>
      <c r="E7" s="278"/>
      <c r="F7" s="69"/>
      <c r="G7" s="69"/>
      <c r="H7" s="69"/>
    </row>
    <row r="8" spans="1:10" x14ac:dyDescent="0.25">
      <c r="A8" s="72" t="s">
        <v>82</v>
      </c>
      <c r="B8" s="73" t="s">
        <v>151</v>
      </c>
      <c r="C8" s="73" t="s">
        <v>152</v>
      </c>
      <c r="D8" s="73" t="s">
        <v>153</v>
      </c>
      <c r="E8" s="73" t="s">
        <v>154</v>
      </c>
      <c r="F8" s="73" t="s">
        <v>155</v>
      </c>
      <c r="G8" s="73" t="s">
        <v>156</v>
      </c>
      <c r="H8" s="73" t="s">
        <v>157</v>
      </c>
    </row>
    <row r="9" spans="1:10" x14ac:dyDescent="0.25">
      <c r="A9" s="74" t="s">
        <v>625</v>
      </c>
      <c r="B9" s="135">
        <v>0.8</v>
      </c>
      <c r="C9" s="135">
        <f t="shared" ref="C9:F9" si="0">B9+5%</f>
        <v>0.85000000000000009</v>
      </c>
      <c r="D9" s="135">
        <f t="shared" si="0"/>
        <v>0.90000000000000013</v>
      </c>
      <c r="E9" s="135">
        <f t="shared" si="0"/>
        <v>0.95000000000000018</v>
      </c>
      <c r="F9" s="135">
        <f t="shared" si="0"/>
        <v>1.0000000000000002</v>
      </c>
      <c r="G9" s="135">
        <f t="shared" ref="G9:H9" si="1">F9</f>
        <v>1.0000000000000002</v>
      </c>
      <c r="H9" s="135">
        <f t="shared" si="1"/>
        <v>1.0000000000000002</v>
      </c>
    </row>
    <row r="10" spans="1:10" x14ac:dyDescent="0.25">
      <c r="A10" s="77" t="s">
        <v>626</v>
      </c>
      <c r="B10" s="234">
        <f t="shared" ref="B10:H10" si="2">$B$4*B9*$B$6</f>
        <v>0</v>
      </c>
      <c r="C10" s="234">
        <f t="shared" si="2"/>
        <v>0</v>
      </c>
      <c r="D10" s="234">
        <f t="shared" si="2"/>
        <v>0</v>
      </c>
      <c r="E10" s="234">
        <f t="shared" si="2"/>
        <v>0</v>
      </c>
      <c r="F10" s="234">
        <f t="shared" si="2"/>
        <v>0</v>
      </c>
      <c r="G10" s="234">
        <f t="shared" si="2"/>
        <v>0</v>
      </c>
      <c r="H10" s="234">
        <f t="shared" si="2"/>
        <v>0</v>
      </c>
    </row>
    <row r="15" spans="1:10" ht="18.75" x14ac:dyDescent="0.3">
      <c r="A15" s="354" t="s">
        <v>627</v>
      </c>
      <c r="B15" s="338"/>
      <c r="C15" s="338"/>
      <c r="D15" s="338"/>
      <c r="E15" s="338"/>
      <c r="F15" s="338"/>
      <c r="G15" s="338"/>
      <c r="H15" s="338"/>
      <c r="I15" s="338"/>
      <c r="J15" s="338"/>
    </row>
    <row r="16" spans="1:10" x14ac:dyDescent="0.25">
      <c r="A16" s="26"/>
      <c r="B16" s="26"/>
      <c r="C16" s="26"/>
      <c r="D16" s="26"/>
      <c r="E16" s="26"/>
      <c r="F16" s="26"/>
      <c r="G16" s="26"/>
      <c r="H16" s="26"/>
    </row>
    <row r="17" spans="1:10" x14ac:dyDescent="0.25">
      <c r="A17" s="69"/>
      <c r="B17" s="69"/>
      <c r="C17" s="69"/>
      <c r="D17" s="70">
        <v>1</v>
      </c>
      <c r="E17" s="71">
        <f t="shared" ref="E17:J17" si="3">(D17*5%)+D17</f>
        <v>1.05</v>
      </c>
      <c r="F17" s="71">
        <f t="shared" si="3"/>
        <v>1.1025</v>
      </c>
      <c r="G17" s="71">
        <f t="shared" si="3"/>
        <v>1.1576250000000001</v>
      </c>
      <c r="H17" s="71">
        <f t="shared" si="3"/>
        <v>1.2155062500000002</v>
      </c>
      <c r="I17" s="71">
        <f t="shared" si="3"/>
        <v>1.2762815625000004</v>
      </c>
      <c r="J17" s="71">
        <f t="shared" si="3"/>
        <v>1.3400956406250004</v>
      </c>
    </row>
    <row r="18" spans="1:10" x14ac:dyDescent="0.25">
      <c r="A18" s="72" t="s">
        <v>148</v>
      </c>
      <c r="B18" s="72" t="s">
        <v>121</v>
      </c>
      <c r="C18" s="72" t="s">
        <v>131</v>
      </c>
      <c r="D18" s="73" t="s">
        <v>151</v>
      </c>
      <c r="E18" s="73" t="s">
        <v>152</v>
      </c>
      <c r="F18" s="73" t="s">
        <v>153</v>
      </c>
      <c r="G18" s="73" t="s">
        <v>154</v>
      </c>
      <c r="H18" s="73" t="s">
        <v>155</v>
      </c>
      <c r="I18" s="73" t="s">
        <v>156</v>
      </c>
      <c r="J18" s="73" t="s">
        <v>157</v>
      </c>
    </row>
    <row r="19" spans="1:10" x14ac:dyDescent="0.25">
      <c r="A19" s="74"/>
      <c r="B19" s="74"/>
      <c r="C19" s="74"/>
      <c r="D19" s="74"/>
      <c r="E19" s="74"/>
      <c r="F19" s="74"/>
      <c r="G19" s="74"/>
      <c r="H19" s="74"/>
      <c r="I19" s="74"/>
      <c r="J19" s="74"/>
    </row>
    <row r="20" spans="1:10" x14ac:dyDescent="0.25">
      <c r="A20" s="77" t="s">
        <v>628</v>
      </c>
      <c r="B20" s="77"/>
      <c r="C20" s="77"/>
      <c r="D20" s="74"/>
      <c r="E20" s="74"/>
      <c r="F20" s="74"/>
      <c r="G20" s="74"/>
      <c r="H20" s="74"/>
      <c r="I20" s="74"/>
      <c r="J20" s="74"/>
    </row>
    <row r="21" spans="1:10" ht="15.75" customHeight="1" x14ac:dyDescent="0.25">
      <c r="A21" s="74" t="s">
        <v>629</v>
      </c>
      <c r="B21" s="74"/>
      <c r="C21" s="75">
        <v>100</v>
      </c>
      <c r="D21" s="76">
        <f t="shared" ref="D21:J21" si="4">B10*$C$21*D17</f>
        <v>0</v>
      </c>
      <c r="E21" s="76">
        <f t="shared" si="4"/>
        <v>0</v>
      </c>
      <c r="F21" s="76">
        <f t="shared" si="4"/>
        <v>0</v>
      </c>
      <c r="G21" s="76">
        <f t="shared" si="4"/>
        <v>0</v>
      </c>
      <c r="H21" s="76">
        <f t="shared" si="4"/>
        <v>0</v>
      </c>
      <c r="I21" s="76">
        <f t="shared" si="4"/>
        <v>0</v>
      </c>
      <c r="J21" s="76">
        <f t="shared" si="4"/>
        <v>0</v>
      </c>
    </row>
    <row r="22" spans="1:10" ht="15.75" customHeight="1" x14ac:dyDescent="0.25">
      <c r="A22" s="74"/>
      <c r="B22" s="74"/>
      <c r="C22" s="76"/>
      <c r="D22" s="76"/>
      <c r="E22" s="76"/>
      <c r="F22" s="76"/>
      <c r="G22" s="76"/>
      <c r="H22" s="76"/>
      <c r="I22" s="76"/>
      <c r="J22" s="76"/>
    </row>
    <row r="23" spans="1:10" ht="15.75" customHeight="1" x14ac:dyDescent="0.25">
      <c r="A23" s="77" t="s">
        <v>354</v>
      </c>
      <c r="B23" s="77"/>
      <c r="C23" s="78"/>
      <c r="D23" s="76">
        <f t="shared" ref="D23:J23" si="5">SUM(D21)</f>
        <v>0</v>
      </c>
      <c r="E23" s="76">
        <f t="shared" si="5"/>
        <v>0</v>
      </c>
      <c r="F23" s="76">
        <f t="shared" si="5"/>
        <v>0</v>
      </c>
      <c r="G23" s="76">
        <f t="shared" si="5"/>
        <v>0</v>
      </c>
      <c r="H23" s="76">
        <f t="shared" si="5"/>
        <v>0</v>
      </c>
      <c r="I23" s="76">
        <f t="shared" si="5"/>
        <v>0</v>
      </c>
      <c r="J23" s="76">
        <f t="shared" si="5"/>
        <v>0</v>
      </c>
    </row>
    <row r="24" spans="1:10" ht="15.75" customHeight="1" x14ac:dyDescent="0.25">
      <c r="A24" s="74"/>
      <c r="B24" s="74"/>
      <c r="C24" s="76"/>
      <c r="D24" s="76"/>
      <c r="E24" s="76"/>
      <c r="F24" s="76"/>
      <c r="G24" s="76"/>
      <c r="H24" s="76"/>
      <c r="I24" s="76"/>
      <c r="J24" s="76"/>
    </row>
    <row r="25" spans="1:10" ht="15.75" customHeight="1" x14ac:dyDescent="0.25">
      <c r="A25" s="77" t="s">
        <v>588</v>
      </c>
      <c r="B25" s="77"/>
      <c r="C25" s="76"/>
      <c r="D25" s="76"/>
      <c r="E25" s="76"/>
      <c r="F25" s="76"/>
      <c r="G25" s="76"/>
      <c r="H25" s="76"/>
      <c r="I25" s="76"/>
      <c r="J25" s="76"/>
    </row>
    <row r="26" spans="1:10" ht="15.75" customHeight="1" x14ac:dyDescent="0.25">
      <c r="A26" s="77" t="s">
        <v>355</v>
      </c>
      <c r="B26" s="77"/>
      <c r="C26" s="76"/>
      <c r="D26" s="76"/>
      <c r="E26" s="76"/>
      <c r="F26" s="76"/>
      <c r="G26" s="76"/>
      <c r="H26" s="76"/>
      <c r="I26" s="76"/>
      <c r="J26" s="76"/>
    </row>
    <row r="27" spans="1:10" ht="15.75" customHeight="1" x14ac:dyDescent="0.25">
      <c r="A27" s="74" t="s">
        <v>630</v>
      </c>
      <c r="B27" s="50" t="s">
        <v>623</v>
      </c>
      <c r="C27" s="75">
        <v>15</v>
      </c>
      <c r="D27" s="76">
        <f t="shared" ref="D27:J27" si="6">$B$4*$C$27*D17*4</f>
        <v>0</v>
      </c>
      <c r="E27" s="76">
        <f t="shared" si="6"/>
        <v>0</v>
      </c>
      <c r="F27" s="76">
        <f t="shared" si="6"/>
        <v>0</v>
      </c>
      <c r="G27" s="76">
        <f t="shared" si="6"/>
        <v>0</v>
      </c>
      <c r="H27" s="76">
        <f t="shared" si="6"/>
        <v>0</v>
      </c>
      <c r="I27" s="76">
        <f t="shared" si="6"/>
        <v>0</v>
      </c>
      <c r="J27" s="76">
        <f t="shared" si="6"/>
        <v>0</v>
      </c>
    </row>
    <row r="28" spans="1:10" ht="15.75" customHeight="1" x14ac:dyDescent="0.25">
      <c r="A28" s="74" t="s">
        <v>631</v>
      </c>
      <c r="B28" s="50" t="s">
        <v>623</v>
      </c>
      <c r="C28" s="75">
        <v>14</v>
      </c>
      <c r="D28" s="76">
        <f t="shared" ref="D28:J28" si="7">$B$4*$C$28*D17*12</f>
        <v>0</v>
      </c>
      <c r="E28" s="76">
        <f t="shared" si="7"/>
        <v>0</v>
      </c>
      <c r="F28" s="76">
        <f t="shared" si="7"/>
        <v>0</v>
      </c>
      <c r="G28" s="76">
        <f t="shared" si="7"/>
        <v>0</v>
      </c>
      <c r="H28" s="76">
        <f t="shared" si="7"/>
        <v>0</v>
      </c>
      <c r="I28" s="76">
        <f t="shared" si="7"/>
        <v>0</v>
      </c>
      <c r="J28" s="76">
        <f t="shared" si="7"/>
        <v>0</v>
      </c>
    </row>
    <row r="29" spans="1:10" ht="15.75" customHeight="1" x14ac:dyDescent="0.25">
      <c r="A29" s="74" t="s">
        <v>632</v>
      </c>
      <c r="B29" s="50"/>
      <c r="C29" s="75">
        <f>B4*10</f>
        <v>0</v>
      </c>
      <c r="D29" s="76">
        <f t="shared" ref="D29:J29" si="8">$C$29*12*D17</f>
        <v>0</v>
      </c>
      <c r="E29" s="76">
        <f t="shared" si="8"/>
        <v>0</v>
      </c>
      <c r="F29" s="76">
        <f t="shared" si="8"/>
        <v>0</v>
      </c>
      <c r="G29" s="76">
        <f t="shared" si="8"/>
        <v>0</v>
      </c>
      <c r="H29" s="76">
        <f t="shared" si="8"/>
        <v>0</v>
      </c>
      <c r="I29" s="76">
        <f t="shared" si="8"/>
        <v>0</v>
      </c>
      <c r="J29" s="76">
        <f t="shared" si="8"/>
        <v>0</v>
      </c>
    </row>
    <row r="30" spans="1:10" ht="15.75" customHeight="1" x14ac:dyDescent="0.25">
      <c r="A30" s="74"/>
      <c r="B30" s="50"/>
      <c r="C30" s="75"/>
      <c r="D30" s="76"/>
      <c r="E30" s="76"/>
      <c r="F30" s="76"/>
      <c r="G30" s="76"/>
      <c r="H30" s="76"/>
      <c r="I30" s="76"/>
      <c r="J30" s="76"/>
    </row>
    <row r="31" spans="1:10" ht="15.75" customHeight="1" x14ac:dyDescent="0.25">
      <c r="A31" s="74"/>
      <c r="B31" s="50"/>
      <c r="C31" s="75"/>
      <c r="D31" s="76"/>
      <c r="E31" s="76"/>
      <c r="F31" s="76"/>
      <c r="G31" s="76"/>
      <c r="H31" s="76"/>
      <c r="I31" s="76"/>
      <c r="J31" s="76"/>
    </row>
    <row r="32" spans="1:10" ht="15.75" customHeight="1" x14ac:dyDescent="0.25">
      <c r="A32" s="74"/>
      <c r="B32" s="50"/>
      <c r="C32" s="75"/>
      <c r="D32" s="76"/>
      <c r="E32" s="76"/>
      <c r="F32" s="76"/>
      <c r="G32" s="76"/>
      <c r="H32" s="76"/>
      <c r="I32" s="76"/>
      <c r="J32" s="76"/>
    </row>
    <row r="33" spans="1:10" ht="15.75" customHeight="1" x14ac:dyDescent="0.25">
      <c r="A33" s="74"/>
      <c r="B33" s="50"/>
      <c r="C33" s="75"/>
      <c r="D33" s="76"/>
      <c r="E33" s="76"/>
      <c r="F33" s="76"/>
      <c r="G33" s="76"/>
      <c r="H33" s="76"/>
      <c r="I33" s="76"/>
      <c r="J33" s="76"/>
    </row>
    <row r="34" spans="1:10" ht="15.75" customHeight="1" x14ac:dyDescent="0.25">
      <c r="A34" s="77" t="s">
        <v>356</v>
      </c>
      <c r="B34" s="55"/>
      <c r="C34" s="269"/>
      <c r="D34" s="78">
        <f t="shared" ref="D34:J34" si="9">SUM(D27:D33)</f>
        <v>0</v>
      </c>
      <c r="E34" s="78">
        <f t="shared" si="9"/>
        <v>0</v>
      </c>
      <c r="F34" s="78">
        <f t="shared" si="9"/>
        <v>0</v>
      </c>
      <c r="G34" s="78">
        <f t="shared" si="9"/>
        <v>0</v>
      </c>
      <c r="H34" s="78">
        <f t="shared" si="9"/>
        <v>0</v>
      </c>
      <c r="I34" s="78">
        <f t="shared" si="9"/>
        <v>0</v>
      </c>
      <c r="J34" s="78">
        <f t="shared" si="9"/>
        <v>0</v>
      </c>
    </row>
    <row r="35" spans="1:10" ht="15.75" customHeight="1" x14ac:dyDescent="0.25">
      <c r="A35" s="77"/>
      <c r="B35" s="55"/>
      <c r="C35" s="269"/>
      <c r="D35" s="78"/>
      <c r="E35" s="78"/>
      <c r="F35" s="78"/>
      <c r="G35" s="78"/>
      <c r="H35" s="78"/>
      <c r="I35" s="78"/>
      <c r="J35" s="78"/>
    </row>
    <row r="36" spans="1:10" ht="15.75" customHeight="1" x14ac:dyDescent="0.25">
      <c r="A36" s="77" t="s">
        <v>357</v>
      </c>
      <c r="B36" s="50"/>
      <c r="C36" s="75"/>
      <c r="D36" s="76"/>
      <c r="E36" s="76"/>
      <c r="F36" s="76"/>
      <c r="G36" s="76"/>
      <c r="H36" s="76"/>
      <c r="I36" s="76"/>
      <c r="J36" s="76"/>
    </row>
    <row r="37" spans="1:10" ht="15.75" customHeight="1" x14ac:dyDescent="0.25">
      <c r="A37" s="74" t="s">
        <v>633</v>
      </c>
      <c r="B37" s="50">
        <v>1</v>
      </c>
      <c r="C37" s="75"/>
      <c r="D37" s="76">
        <f t="shared" ref="D37:J37" si="10">$B$37*$C$37*D17*12</f>
        <v>0</v>
      </c>
      <c r="E37" s="76">
        <f t="shared" si="10"/>
        <v>0</v>
      </c>
      <c r="F37" s="76">
        <f t="shared" si="10"/>
        <v>0</v>
      </c>
      <c r="G37" s="76">
        <f t="shared" si="10"/>
        <v>0</v>
      </c>
      <c r="H37" s="76">
        <f t="shared" si="10"/>
        <v>0</v>
      </c>
      <c r="I37" s="76">
        <f t="shared" si="10"/>
        <v>0</v>
      </c>
      <c r="J37" s="76">
        <f t="shared" si="10"/>
        <v>0</v>
      </c>
    </row>
    <row r="38" spans="1:10" ht="15.75" customHeight="1" x14ac:dyDescent="0.25">
      <c r="A38" s="74"/>
      <c r="B38" s="50"/>
      <c r="C38" s="75"/>
      <c r="D38" s="76"/>
      <c r="E38" s="76"/>
      <c r="F38" s="76"/>
      <c r="G38" s="76"/>
      <c r="H38" s="76"/>
      <c r="I38" s="76"/>
      <c r="J38" s="76"/>
    </row>
    <row r="39" spans="1:10" ht="15.75" customHeight="1" x14ac:dyDescent="0.25">
      <c r="A39" s="74"/>
      <c r="B39" s="50"/>
      <c r="C39" s="75"/>
      <c r="D39" s="76"/>
      <c r="E39" s="76"/>
      <c r="F39" s="76"/>
      <c r="G39" s="76"/>
      <c r="H39" s="76"/>
      <c r="I39" s="76"/>
      <c r="J39" s="76"/>
    </row>
    <row r="40" spans="1:10" ht="15.75" customHeight="1" x14ac:dyDescent="0.25">
      <c r="A40" s="74"/>
      <c r="B40" s="50"/>
      <c r="C40" s="75"/>
      <c r="D40" s="76"/>
      <c r="E40" s="76"/>
      <c r="F40" s="76"/>
      <c r="G40" s="76"/>
      <c r="H40" s="76"/>
      <c r="I40" s="76"/>
      <c r="J40" s="76"/>
    </row>
    <row r="41" spans="1:10" ht="15.75" customHeight="1" x14ac:dyDescent="0.25">
      <c r="A41" s="74"/>
      <c r="B41" s="50"/>
      <c r="C41" s="75"/>
      <c r="D41" s="76"/>
      <c r="E41" s="76"/>
      <c r="F41" s="76"/>
      <c r="G41" s="76"/>
      <c r="H41" s="76"/>
      <c r="I41" s="76"/>
      <c r="J41" s="76"/>
    </row>
    <row r="42" spans="1:10" ht="15.75" customHeight="1" x14ac:dyDescent="0.25">
      <c r="A42" s="74"/>
      <c r="B42" s="50"/>
      <c r="C42" s="75"/>
      <c r="D42" s="76"/>
      <c r="E42" s="76"/>
      <c r="F42" s="76"/>
      <c r="G42" s="76"/>
      <c r="H42" s="76"/>
      <c r="I42" s="76"/>
      <c r="J42" s="76"/>
    </row>
    <row r="43" spans="1:10" ht="15.75" customHeight="1" x14ac:dyDescent="0.25">
      <c r="A43" s="77" t="s">
        <v>359</v>
      </c>
      <c r="B43" s="77"/>
      <c r="C43" s="78"/>
      <c r="D43" s="78">
        <f t="shared" ref="D43:J43" si="11">SUM(D37:D42)</f>
        <v>0</v>
      </c>
      <c r="E43" s="78">
        <f t="shared" si="11"/>
        <v>0</v>
      </c>
      <c r="F43" s="78">
        <f t="shared" si="11"/>
        <v>0</v>
      </c>
      <c r="G43" s="78">
        <f t="shared" si="11"/>
        <v>0</v>
      </c>
      <c r="H43" s="78">
        <f t="shared" si="11"/>
        <v>0</v>
      </c>
      <c r="I43" s="78">
        <f t="shared" si="11"/>
        <v>0</v>
      </c>
      <c r="J43" s="78">
        <f t="shared" si="11"/>
        <v>0</v>
      </c>
    </row>
    <row r="44" spans="1:10" ht="15.75" customHeight="1" x14ac:dyDescent="0.25">
      <c r="A44" s="77"/>
      <c r="B44" s="77"/>
      <c r="C44" s="78"/>
      <c r="D44" s="78"/>
      <c r="E44" s="78"/>
      <c r="F44" s="78"/>
      <c r="G44" s="78"/>
      <c r="H44" s="78"/>
      <c r="I44" s="78"/>
      <c r="J44" s="78"/>
    </row>
    <row r="45" spans="1:10" ht="15.75" customHeight="1" x14ac:dyDescent="0.25">
      <c r="A45" s="77" t="s">
        <v>596</v>
      </c>
      <c r="B45" s="77"/>
      <c r="C45" s="78"/>
      <c r="D45" s="78">
        <f t="shared" ref="D45:J45" si="12">D34+D43</f>
        <v>0</v>
      </c>
      <c r="E45" s="78">
        <f t="shared" si="12"/>
        <v>0</v>
      </c>
      <c r="F45" s="78">
        <f t="shared" si="12"/>
        <v>0</v>
      </c>
      <c r="G45" s="78">
        <f t="shared" si="12"/>
        <v>0</v>
      </c>
      <c r="H45" s="78">
        <f t="shared" si="12"/>
        <v>0</v>
      </c>
      <c r="I45" s="78">
        <f t="shared" si="12"/>
        <v>0</v>
      </c>
      <c r="J45" s="78">
        <f t="shared" si="12"/>
        <v>0</v>
      </c>
    </row>
    <row r="46" spans="1:10" ht="15.75" customHeight="1" x14ac:dyDescent="0.25">
      <c r="A46" s="74"/>
      <c r="B46" s="74"/>
      <c r="C46" s="76"/>
      <c r="D46" s="76"/>
      <c r="E46" s="76"/>
      <c r="F46" s="76"/>
      <c r="G46" s="76"/>
      <c r="H46" s="76"/>
      <c r="I46" s="76"/>
      <c r="J46" s="76"/>
    </row>
    <row r="47" spans="1:10" ht="15.75" customHeight="1" x14ac:dyDescent="0.25">
      <c r="A47" s="77" t="s">
        <v>634</v>
      </c>
      <c r="B47" s="77"/>
      <c r="C47" s="78"/>
      <c r="D47" s="78">
        <f t="shared" ref="D47:J47" si="13">D23-D45</f>
        <v>0</v>
      </c>
      <c r="E47" s="78">
        <f t="shared" si="13"/>
        <v>0</v>
      </c>
      <c r="F47" s="78">
        <f t="shared" si="13"/>
        <v>0</v>
      </c>
      <c r="G47" s="78">
        <f t="shared" si="13"/>
        <v>0</v>
      </c>
      <c r="H47" s="78">
        <f t="shared" si="13"/>
        <v>0</v>
      </c>
      <c r="I47" s="78">
        <f t="shared" si="13"/>
        <v>0</v>
      </c>
      <c r="J47" s="78">
        <f t="shared" si="13"/>
        <v>0</v>
      </c>
    </row>
    <row r="48" spans="1:10" ht="15.75" customHeight="1" x14ac:dyDescent="0.25">
      <c r="A48" s="69"/>
      <c r="B48" s="69"/>
      <c r="C48" s="69"/>
      <c r="D48" s="69"/>
      <c r="E48" s="69"/>
      <c r="F48" s="69"/>
      <c r="G48" s="69"/>
      <c r="H48" s="69"/>
      <c r="I48" s="69"/>
      <c r="J48" s="69"/>
    </row>
    <row r="49" spans="1:10" ht="15.75" customHeight="1" x14ac:dyDescent="0.25">
      <c r="A49" s="69"/>
    </row>
    <row r="50" spans="1:10" ht="15.75" customHeight="1" x14ac:dyDescent="0.25"/>
    <row r="51" spans="1:10" ht="15.75" customHeight="1" x14ac:dyDescent="0.25">
      <c r="A51" s="356" t="s">
        <v>620</v>
      </c>
      <c r="B51" s="338"/>
      <c r="C51" s="338"/>
      <c r="D51" s="338"/>
      <c r="E51" s="338"/>
      <c r="F51" s="338"/>
      <c r="G51" s="338"/>
      <c r="H51" s="338"/>
      <c r="I51" s="338"/>
      <c r="J51" s="338"/>
    </row>
    <row r="52" spans="1:10" ht="15.75" customHeight="1" x14ac:dyDescent="0.25"/>
    <row r="53" spans="1:10" ht="15.75" customHeight="1" x14ac:dyDescent="0.25">
      <c r="A53" t="s">
        <v>312</v>
      </c>
    </row>
    <row r="54" spans="1:10" ht="15.75" customHeight="1" x14ac:dyDescent="0.25">
      <c r="A54">
        <v>1</v>
      </c>
      <c r="B54" t="s">
        <v>600</v>
      </c>
    </row>
    <row r="55" spans="1:10" ht="15.75" customHeight="1" x14ac:dyDescent="0.25">
      <c r="A55">
        <v>2</v>
      </c>
      <c r="B55" t="s">
        <v>601</v>
      </c>
    </row>
    <row r="56" spans="1:10" ht="15.75" customHeight="1" x14ac:dyDescent="0.25">
      <c r="A56">
        <v>3</v>
      </c>
      <c r="B56" s="69" t="s">
        <v>602</v>
      </c>
    </row>
    <row r="57" spans="1:10" ht="15.75" customHeight="1" x14ac:dyDescent="0.25"/>
    <row r="58" spans="1:10" ht="15.75" customHeight="1" x14ac:dyDescent="0.25"/>
    <row r="59" spans="1:10" ht="15.75" customHeight="1" x14ac:dyDescent="0.25"/>
    <row r="60" spans="1:10" ht="15.75" customHeight="1" x14ac:dyDescent="0.25"/>
    <row r="61" spans="1:10" ht="15.75" customHeight="1" x14ac:dyDescent="0.25"/>
    <row r="62" spans="1:10" ht="15.75" customHeight="1" x14ac:dyDescent="0.25"/>
    <row r="63" spans="1:10" ht="15.75" customHeight="1" x14ac:dyDescent="0.25"/>
    <row r="64" spans="1:10"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4">
    <mergeCell ref="A15:J15"/>
    <mergeCell ref="A2:H2"/>
    <mergeCell ref="A51:J51"/>
    <mergeCell ref="A3:H3"/>
  </mergeCells>
  <printOptions horizontalCentered="1"/>
  <pageMargins left="0.23622047244094499" right="0.23622047244094499" top="0.74803149606299202" bottom="0.74803149606299202" header="0.31496062992126" footer="0.31496062992126"/>
  <pageSetup paperSize="9" scale="8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00"/>
  <sheetViews>
    <sheetView view="pageBreakPreview" topLeftCell="A43" zoomScale="60" zoomScaleNormal="100" workbookViewId="0">
      <selection activeCell="E28" sqref="E28"/>
    </sheetView>
  </sheetViews>
  <sheetFormatPr defaultColWidth="14.42578125" defaultRowHeight="15" customHeight="1" x14ac:dyDescent="0.25"/>
  <cols>
    <col min="1" max="1" width="26.85546875" customWidth="1"/>
    <col min="2" max="2" width="29.42578125" customWidth="1"/>
    <col min="3" max="3" width="12.140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5" max="16" width="8.7109375" customWidth="1"/>
  </cols>
  <sheetData>
    <row r="3" spans="1:13" ht="18.75" x14ac:dyDescent="0.3">
      <c r="A3" s="354" t="s">
        <v>635</v>
      </c>
      <c r="B3" s="338"/>
      <c r="C3" s="338"/>
      <c r="D3" s="338"/>
      <c r="E3" s="338"/>
      <c r="F3" s="338"/>
      <c r="G3" s="338"/>
      <c r="H3" s="338"/>
      <c r="I3" s="338"/>
      <c r="J3" s="338"/>
      <c r="K3" s="338"/>
      <c r="L3" s="338"/>
    </row>
    <row r="4" spans="1:13" ht="18.75" x14ac:dyDescent="0.3">
      <c r="A4" s="354" t="s">
        <v>636</v>
      </c>
      <c r="B4" s="338"/>
      <c r="C4" s="338"/>
      <c r="D4" s="338"/>
      <c r="E4" s="338"/>
      <c r="F4" s="338"/>
      <c r="G4" s="338"/>
      <c r="H4" s="338"/>
      <c r="I4" s="338"/>
      <c r="J4" s="338"/>
      <c r="K4" s="338"/>
      <c r="L4" s="338"/>
    </row>
    <row r="5" spans="1:13" x14ac:dyDescent="0.25">
      <c r="A5" s="69"/>
      <c r="B5" s="69"/>
      <c r="C5" s="69"/>
    </row>
    <row r="6" spans="1:13" x14ac:dyDescent="0.25">
      <c r="A6" s="69"/>
      <c r="B6" s="69"/>
      <c r="C6" s="69"/>
    </row>
    <row r="7" spans="1:13" ht="45" x14ac:dyDescent="0.25">
      <c r="A7" s="238" t="s">
        <v>81</v>
      </c>
      <c r="B7" s="247" t="s">
        <v>637</v>
      </c>
      <c r="C7" s="247" t="s">
        <v>638</v>
      </c>
      <c r="D7" s="247" t="s">
        <v>639</v>
      </c>
      <c r="E7" s="247" t="s">
        <v>640</v>
      </c>
      <c r="F7" s="247" t="s">
        <v>641</v>
      </c>
      <c r="G7" s="247" t="s">
        <v>642</v>
      </c>
      <c r="H7" s="247" t="s">
        <v>643</v>
      </c>
      <c r="I7" s="247" t="s">
        <v>644</v>
      </c>
      <c r="J7" s="279" t="s">
        <v>645</v>
      </c>
      <c r="K7" s="247" t="s">
        <v>646</v>
      </c>
      <c r="L7" s="279" t="s">
        <v>647</v>
      </c>
      <c r="M7" s="247" t="s">
        <v>648</v>
      </c>
    </row>
    <row r="8" spans="1:13" x14ac:dyDescent="0.25">
      <c r="A8" s="280">
        <v>1</v>
      </c>
      <c r="B8" s="241" t="s">
        <v>649</v>
      </c>
      <c r="C8" s="241"/>
      <c r="D8" s="241"/>
      <c r="E8" s="241">
        <v>6</v>
      </c>
      <c r="F8" s="134">
        <f t="shared" ref="F8:F17" si="0">D8*E8*C8</f>
        <v>0</v>
      </c>
      <c r="G8" s="241">
        <v>4</v>
      </c>
      <c r="H8" s="134">
        <f t="shared" ref="H8:H12" si="1">F8/G8</f>
        <v>0</v>
      </c>
      <c r="I8" s="241">
        <v>12</v>
      </c>
      <c r="J8" s="134">
        <f t="shared" ref="J8:J17" si="2">H8*I8</f>
        <v>0</v>
      </c>
      <c r="K8" s="241">
        <v>3000</v>
      </c>
      <c r="L8" s="241">
        <v>1</v>
      </c>
      <c r="M8" s="134">
        <f t="shared" ref="M8:M17" si="3">D8*L8</f>
        <v>0</v>
      </c>
    </row>
    <row r="9" spans="1:13" x14ac:dyDescent="0.25">
      <c r="A9" s="280">
        <v>2</v>
      </c>
      <c r="B9" s="241" t="s">
        <v>650</v>
      </c>
      <c r="C9" s="241"/>
      <c r="D9" s="241"/>
      <c r="E9" s="241">
        <v>6</v>
      </c>
      <c r="F9" s="134">
        <f t="shared" si="0"/>
        <v>0</v>
      </c>
      <c r="G9" s="241">
        <v>2</v>
      </c>
      <c r="H9" s="134">
        <f t="shared" si="1"/>
        <v>0</v>
      </c>
      <c r="I9" s="241">
        <v>8</v>
      </c>
      <c r="J9" s="134">
        <f t="shared" si="2"/>
        <v>0</v>
      </c>
      <c r="K9" s="241">
        <v>1800</v>
      </c>
      <c r="L9" s="241">
        <v>1</v>
      </c>
      <c r="M9" s="134">
        <f t="shared" si="3"/>
        <v>0</v>
      </c>
    </row>
    <row r="10" spans="1:13" x14ac:dyDescent="0.25">
      <c r="A10" s="280">
        <v>3</v>
      </c>
      <c r="B10" s="241" t="s">
        <v>651</v>
      </c>
      <c r="C10" s="241"/>
      <c r="D10" s="241"/>
      <c r="E10" s="241">
        <v>6</v>
      </c>
      <c r="F10" s="134">
        <f t="shared" si="0"/>
        <v>0</v>
      </c>
      <c r="G10" s="241">
        <v>2</v>
      </c>
      <c r="H10" s="134">
        <f t="shared" si="1"/>
        <v>0</v>
      </c>
      <c r="I10" s="241">
        <v>8</v>
      </c>
      <c r="J10" s="134">
        <f t="shared" si="2"/>
        <v>0</v>
      </c>
      <c r="K10" s="241">
        <v>1800</v>
      </c>
      <c r="L10" s="241">
        <v>1</v>
      </c>
      <c r="M10" s="134">
        <f t="shared" si="3"/>
        <v>0</v>
      </c>
    </row>
    <row r="11" spans="1:13" x14ac:dyDescent="0.25">
      <c r="A11" s="280">
        <v>4</v>
      </c>
      <c r="B11" s="241" t="s">
        <v>652</v>
      </c>
      <c r="C11" s="241"/>
      <c r="D11" s="241"/>
      <c r="E11" s="241">
        <v>6</v>
      </c>
      <c r="F11" s="134">
        <f t="shared" si="0"/>
        <v>0</v>
      </c>
      <c r="G11" s="241">
        <v>2</v>
      </c>
      <c r="H11" s="134">
        <f t="shared" si="1"/>
        <v>0</v>
      </c>
      <c r="I11" s="241">
        <v>4</v>
      </c>
      <c r="J11" s="134">
        <f t="shared" si="2"/>
        <v>0</v>
      </c>
      <c r="K11" s="241">
        <v>1200</v>
      </c>
      <c r="L11" s="241">
        <v>1</v>
      </c>
      <c r="M11" s="134">
        <f t="shared" si="3"/>
        <v>0</v>
      </c>
    </row>
    <row r="12" spans="1:13" x14ac:dyDescent="0.25">
      <c r="A12" s="280">
        <v>5</v>
      </c>
      <c r="B12" s="241" t="s">
        <v>653</v>
      </c>
      <c r="C12" s="241"/>
      <c r="D12" s="241"/>
      <c r="E12" s="241">
        <v>6</v>
      </c>
      <c r="F12" s="134">
        <f t="shared" si="0"/>
        <v>0</v>
      </c>
      <c r="G12" s="241">
        <v>2</v>
      </c>
      <c r="H12" s="134">
        <f t="shared" si="1"/>
        <v>0</v>
      </c>
      <c r="I12" s="241">
        <v>10</v>
      </c>
      <c r="J12" s="134">
        <f t="shared" si="2"/>
        <v>0</v>
      </c>
      <c r="K12" s="241">
        <v>3000</v>
      </c>
      <c r="L12" s="241">
        <v>1</v>
      </c>
      <c r="M12" s="134">
        <f t="shared" si="3"/>
        <v>0</v>
      </c>
    </row>
    <row r="13" spans="1:13" x14ac:dyDescent="0.25">
      <c r="A13" s="280">
        <v>6</v>
      </c>
      <c r="B13" s="134"/>
      <c r="C13" s="134"/>
      <c r="D13" s="134"/>
      <c r="E13" s="134"/>
      <c r="F13" s="134">
        <f t="shared" si="0"/>
        <v>0</v>
      </c>
      <c r="G13" s="134">
        <v>0</v>
      </c>
      <c r="H13" s="241"/>
      <c r="I13" s="134"/>
      <c r="J13" s="134">
        <f t="shared" si="2"/>
        <v>0</v>
      </c>
      <c r="K13" s="134"/>
      <c r="L13" s="134"/>
      <c r="M13" s="134">
        <f t="shared" si="3"/>
        <v>0</v>
      </c>
    </row>
    <row r="14" spans="1:13" x14ac:dyDescent="0.25">
      <c r="A14" s="280">
        <v>7</v>
      </c>
      <c r="B14" s="134"/>
      <c r="C14" s="134"/>
      <c r="D14" s="134"/>
      <c r="E14" s="134"/>
      <c r="F14" s="134">
        <f t="shared" si="0"/>
        <v>0</v>
      </c>
      <c r="G14" s="134">
        <v>0</v>
      </c>
      <c r="H14" s="241"/>
      <c r="I14" s="134"/>
      <c r="J14" s="134">
        <f t="shared" si="2"/>
        <v>0</v>
      </c>
      <c r="K14" s="134"/>
      <c r="L14" s="134"/>
      <c r="M14" s="134">
        <f t="shared" si="3"/>
        <v>0</v>
      </c>
    </row>
    <row r="15" spans="1:13" x14ac:dyDescent="0.25">
      <c r="A15" s="280">
        <v>8</v>
      </c>
      <c r="B15" s="134"/>
      <c r="C15" s="134"/>
      <c r="D15" s="134"/>
      <c r="E15" s="134"/>
      <c r="F15" s="134">
        <f t="shared" si="0"/>
        <v>0</v>
      </c>
      <c r="G15" s="134">
        <v>0</v>
      </c>
      <c r="H15" s="241"/>
      <c r="I15" s="134"/>
      <c r="J15" s="134">
        <f t="shared" si="2"/>
        <v>0</v>
      </c>
      <c r="K15" s="134"/>
      <c r="L15" s="134"/>
      <c r="M15" s="134">
        <f t="shared" si="3"/>
        <v>0</v>
      </c>
    </row>
    <row r="16" spans="1:13" x14ac:dyDescent="0.25">
      <c r="A16" s="280">
        <v>9</v>
      </c>
      <c r="B16" s="134"/>
      <c r="C16" s="134"/>
      <c r="D16" s="134"/>
      <c r="E16" s="134"/>
      <c r="F16" s="134">
        <f t="shared" si="0"/>
        <v>0</v>
      </c>
      <c r="G16" s="134">
        <v>0</v>
      </c>
      <c r="H16" s="241"/>
      <c r="I16" s="134"/>
      <c r="J16" s="134">
        <f t="shared" si="2"/>
        <v>0</v>
      </c>
      <c r="K16" s="134"/>
      <c r="L16" s="134"/>
      <c r="M16" s="134">
        <f t="shared" si="3"/>
        <v>0</v>
      </c>
    </row>
    <row r="17" spans="1:16" x14ac:dyDescent="0.25">
      <c r="A17" s="280">
        <v>10</v>
      </c>
      <c r="B17" s="134"/>
      <c r="C17" s="134"/>
      <c r="D17" s="134"/>
      <c r="E17" s="134"/>
      <c r="F17" s="134">
        <f t="shared" si="0"/>
        <v>0</v>
      </c>
      <c r="G17" s="134">
        <v>0</v>
      </c>
      <c r="H17" s="241"/>
      <c r="I17" s="134"/>
      <c r="J17" s="134">
        <f t="shared" si="2"/>
        <v>0</v>
      </c>
      <c r="K17" s="134"/>
      <c r="L17" s="134"/>
      <c r="M17" s="134">
        <f t="shared" si="3"/>
        <v>0</v>
      </c>
    </row>
    <row r="18" spans="1:16" x14ac:dyDescent="0.25">
      <c r="A18" s="48"/>
      <c r="B18" s="48"/>
      <c r="C18" s="79"/>
      <c r="D18" s="79"/>
      <c r="E18" s="79"/>
      <c r="F18" s="79"/>
      <c r="G18" s="79"/>
      <c r="H18" s="79"/>
      <c r="I18" s="79"/>
      <c r="J18" s="79"/>
      <c r="K18" s="79"/>
      <c r="L18" s="79"/>
      <c r="M18" s="79"/>
    </row>
    <row r="19" spans="1:16" x14ac:dyDescent="0.25">
      <c r="A19" s="48"/>
      <c r="B19" s="48"/>
      <c r="C19" s="79"/>
      <c r="D19" s="79"/>
      <c r="E19" s="79"/>
      <c r="F19" s="79"/>
      <c r="G19" s="79"/>
      <c r="H19" s="79"/>
      <c r="I19" s="79"/>
      <c r="J19" s="79"/>
      <c r="K19" s="79"/>
      <c r="L19" s="79"/>
      <c r="M19" s="79"/>
    </row>
    <row r="21" spans="1:16" ht="15.75" customHeight="1" x14ac:dyDescent="0.3">
      <c r="A21" s="354" t="s">
        <v>654</v>
      </c>
      <c r="B21" s="338"/>
      <c r="C21" s="338"/>
      <c r="D21" s="338"/>
      <c r="E21" s="338"/>
      <c r="F21" s="338"/>
      <c r="G21" s="338"/>
      <c r="H21" s="338"/>
      <c r="I21" s="338"/>
      <c r="J21" s="338"/>
      <c r="K21" s="338"/>
    </row>
    <row r="22" spans="1:16" ht="15.75" customHeight="1" x14ac:dyDescent="0.25"/>
    <row r="23" spans="1:16" ht="15.75" customHeight="1" x14ac:dyDescent="0.25">
      <c r="A23" s="69"/>
      <c r="B23" s="69"/>
      <c r="C23" s="69"/>
      <c r="D23" s="69"/>
      <c r="E23" s="70">
        <v>1</v>
      </c>
      <c r="F23" s="71">
        <f t="shared" ref="F23:K23" si="4">(E23*5%)+E23</f>
        <v>1.05</v>
      </c>
      <c r="G23" s="71">
        <f t="shared" si="4"/>
        <v>1.1025</v>
      </c>
      <c r="H23" s="71">
        <f t="shared" si="4"/>
        <v>1.1576250000000001</v>
      </c>
      <c r="I23" s="71">
        <f t="shared" si="4"/>
        <v>1.2155062500000002</v>
      </c>
      <c r="J23" s="71">
        <f t="shared" si="4"/>
        <v>1.2762815625000004</v>
      </c>
      <c r="K23" s="71">
        <f t="shared" si="4"/>
        <v>1.3400956406250004</v>
      </c>
    </row>
    <row r="24" spans="1:16" ht="15.75" customHeight="1" x14ac:dyDescent="0.25">
      <c r="A24" s="72" t="s">
        <v>148</v>
      </c>
      <c r="B24" s="72" t="s">
        <v>121</v>
      </c>
      <c r="C24" s="72" t="s">
        <v>122</v>
      </c>
      <c r="D24" s="72" t="s">
        <v>131</v>
      </c>
      <c r="E24" s="73" t="s">
        <v>151</v>
      </c>
      <c r="F24" s="73" t="s">
        <v>152</v>
      </c>
      <c r="G24" s="73" t="s">
        <v>153</v>
      </c>
      <c r="H24" s="73" t="s">
        <v>154</v>
      </c>
      <c r="I24" s="73" t="s">
        <v>155</v>
      </c>
      <c r="J24" s="73" t="s">
        <v>156</v>
      </c>
      <c r="K24" s="73" t="s">
        <v>157</v>
      </c>
    </row>
    <row r="25" spans="1:16" ht="15.75" customHeight="1" x14ac:dyDescent="0.25">
      <c r="A25" s="77"/>
      <c r="B25" s="77"/>
      <c r="C25" s="77"/>
      <c r="D25" s="77"/>
      <c r="E25" s="74"/>
      <c r="F25" s="74"/>
      <c r="G25" s="74"/>
      <c r="H25" s="74"/>
      <c r="I25" s="74"/>
      <c r="J25" s="74"/>
      <c r="K25" s="74"/>
    </row>
    <row r="26" spans="1:16" ht="15.75" customHeight="1" x14ac:dyDescent="0.25">
      <c r="A26" s="77" t="s">
        <v>348</v>
      </c>
      <c r="B26" s="77"/>
      <c r="C26" s="77"/>
      <c r="D26" s="77"/>
      <c r="E26" s="74"/>
      <c r="F26" s="74"/>
      <c r="G26" s="74"/>
      <c r="H26" s="74"/>
      <c r="I26" s="74"/>
      <c r="J26" s="74"/>
      <c r="K26" s="74"/>
      <c r="P26" s="69"/>
    </row>
    <row r="27" spans="1:16" ht="15.75" customHeight="1" x14ac:dyDescent="0.25">
      <c r="A27" s="187" t="s">
        <v>655</v>
      </c>
      <c r="B27" s="191"/>
      <c r="C27" s="191"/>
      <c r="D27" s="191"/>
      <c r="E27" s="76"/>
      <c r="F27" s="76"/>
      <c r="G27" s="76"/>
      <c r="H27" s="76"/>
      <c r="I27" s="76"/>
      <c r="J27" s="76"/>
      <c r="K27" s="76"/>
      <c r="P27" s="69"/>
    </row>
    <row r="28" spans="1:16" ht="15.75" customHeight="1" x14ac:dyDescent="0.25">
      <c r="A28" s="191" t="str">
        <f t="shared" ref="A28:A32" si="5">B8</f>
        <v>Double Plough</v>
      </c>
      <c r="B28" s="191"/>
      <c r="C28" s="191">
        <f t="shared" ref="C28:C38" si="6">H8</f>
        <v>0</v>
      </c>
      <c r="D28" s="191">
        <f t="shared" ref="D28:D38" si="7">K8</f>
        <v>3000</v>
      </c>
      <c r="E28" s="76">
        <f t="shared" ref="E28:K28" si="8">$C$28*$D$28*E23</f>
        <v>0</v>
      </c>
      <c r="F28" s="76">
        <f t="shared" si="8"/>
        <v>0</v>
      </c>
      <c r="G28" s="76">
        <f t="shared" si="8"/>
        <v>0</v>
      </c>
      <c r="H28" s="76">
        <f t="shared" si="8"/>
        <v>0</v>
      </c>
      <c r="I28" s="76">
        <f t="shared" si="8"/>
        <v>0</v>
      </c>
      <c r="J28" s="76">
        <f t="shared" si="8"/>
        <v>0</v>
      </c>
      <c r="K28" s="76">
        <f t="shared" si="8"/>
        <v>0</v>
      </c>
      <c r="P28" s="69"/>
    </row>
    <row r="29" spans="1:16" ht="15.75" customHeight="1" x14ac:dyDescent="0.25">
      <c r="A29" s="191" t="str">
        <f t="shared" si="5"/>
        <v>Cultivator</v>
      </c>
      <c r="B29" s="191"/>
      <c r="C29" s="191">
        <f t="shared" si="6"/>
        <v>0</v>
      </c>
      <c r="D29" s="191">
        <f t="shared" si="7"/>
        <v>1800</v>
      </c>
      <c r="E29" s="76">
        <f t="shared" ref="E29:K29" si="9">$C$29*$D$29*E23</f>
        <v>0</v>
      </c>
      <c r="F29" s="76">
        <f t="shared" si="9"/>
        <v>0</v>
      </c>
      <c r="G29" s="76">
        <f t="shared" si="9"/>
        <v>0</v>
      </c>
      <c r="H29" s="76">
        <f t="shared" si="9"/>
        <v>0</v>
      </c>
      <c r="I29" s="76">
        <f t="shared" si="9"/>
        <v>0</v>
      </c>
      <c r="J29" s="76">
        <f t="shared" si="9"/>
        <v>0</v>
      </c>
      <c r="K29" s="76">
        <f t="shared" si="9"/>
        <v>0</v>
      </c>
      <c r="P29" s="69"/>
    </row>
    <row r="30" spans="1:16" ht="15.75" customHeight="1" x14ac:dyDescent="0.25">
      <c r="A30" s="191" t="str">
        <f t="shared" si="5"/>
        <v>Rotavator</v>
      </c>
      <c r="B30" s="191"/>
      <c r="C30" s="191">
        <f t="shared" si="6"/>
        <v>0</v>
      </c>
      <c r="D30" s="191">
        <f t="shared" si="7"/>
        <v>1800</v>
      </c>
      <c r="E30" s="76">
        <f t="shared" ref="E30:K30" si="10">$C$30*$D$30*E23</f>
        <v>0</v>
      </c>
      <c r="F30" s="76">
        <f t="shared" si="10"/>
        <v>0</v>
      </c>
      <c r="G30" s="76">
        <f t="shared" si="10"/>
        <v>0</v>
      </c>
      <c r="H30" s="76">
        <f t="shared" si="10"/>
        <v>0</v>
      </c>
      <c r="I30" s="76">
        <f t="shared" si="10"/>
        <v>0</v>
      </c>
      <c r="J30" s="76">
        <f t="shared" si="10"/>
        <v>0</v>
      </c>
      <c r="K30" s="76">
        <f t="shared" si="10"/>
        <v>0</v>
      </c>
      <c r="P30" s="69"/>
    </row>
    <row r="31" spans="1:16" ht="15.75" customHeight="1" x14ac:dyDescent="0.25">
      <c r="A31" s="191" t="str">
        <f t="shared" si="5"/>
        <v>BBF Seed Sowing Machine</v>
      </c>
      <c r="B31" s="191"/>
      <c r="C31" s="191">
        <f t="shared" si="6"/>
        <v>0</v>
      </c>
      <c r="D31" s="191">
        <f t="shared" si="7"/>
        <v>1200</v>
      </c>
      <c r="E31" s="76">
        <f t="shared" ref="E31:K31" si="11">$C$31*$D$31*E23</f>
        <v>0</v>
      </c>
      <c r="F31" s="76">
        <f t="shared" si="11"/>
        <v>0</v>
      </c>
      <c r="G31" s="76">
        <f t="shared" si="11"/>
        <v>0</v>
      </c>
      <c r="H31" s="76">
        <f t="shared" si="11"/>
        <v>0</v>
      </c>
      <c r="I31" s="76">
        <f t="shared" si="11"/>
        <v>0</v>
      </c>
      <c r="J31" s="76">
        <f t="shared" si="11"/>
        <v>0</v>
      </c>
      <c r="K31" s="76">
        <f t="shared" si="11"/>
        <v>0</v>
      </c>
      <c r="P31" s="69"/>
    </row>
    <row r="32" spans="1:16" ht="15.75" customHeight="1" x14ac:dyDescent="0.25">
      <c r="A32" s="191" t="str">
        <f t="shared" si="5"/>
        <v>Mobile Threshing</v>
      </c>
      <c r="B32" s="191"/>
      <c r="C32" s="191">
        <f t="shared" si="6"/>
        <v>0</v>
      </c>
      <c r="D32" s="191">
        <f t="shared" si="7"/>
        <v>3000</v>
      </c>
      <c r="E32" s="76">
        <f t="shared" ref="E32:K32" si="12">$C$32*$D$32*E23</f>
        <v>0</v>
      </c>
      <c r="F32" s="76">
        <f t="shared" si="12"/>
        <v>0</v>
      </c>
      <c r="G32" s="76">
        <f t="shared" si="12"/>
        <v>0</v>
      </c>
      <c r="H32" s="76">
        <f t="shared" si="12"/>
        <v>0</v>
      </c>
      <c r="I32" s="76">
        <f t="shared" si="12"/>
        <v>0</v>
      </c>
      <c r="J32" s="76">
        <f t="shared" si="12"/>
        <v>0</v>
      </c>
      <c r="K32" s="76">
        <f t="shared" si="12"/>
        <v>0</v>
      </c>
      <c r="P32" s="69"/>
    </row>
    <row r="33" spans="1:16" ht="15.75" customHeight="1" x14ac:dyDescent="0.25">
      <c r="A33" s="191"/>
      <c r="B33" s="191"/>
      <c r="C33" s="191">
        <f t="shared" si="6"/>
        <v>0</v>
      </c>
      <c r="D33" s="191">
        <f t="shared" si="7"/>
        <v>0</v>
      </c>
      <c r="E33" s="76">
        <f t="shared" ref="E33:K33" si="13">$C$33*$D$33*E23</f>
        <v>0</v>
      </c>
      <c r="F33" s="76">
        <f t="shared" si="13"/>
        <v>0</v>
      </c>
      <c r="G33" s="76">
        <f t="shared" si="13"/>
        <v>0</v>
      </c>
      <c r="H33" s="76">
        <f t="shared" si="13"/>
        <v>0</v>
      </c>
      <c r="I33" s="76">
        <f t="shared" si="13"/>
        <v>0</v>
      </c>
      <c r="J33" s="76">
        <f t="shared" si="13"/>
        <v>0</v>
      </c>
      <c r="K33" s="76">
        <f t="shared" si="13"/>
        <v>0</v>
      </c>
      <c r="P33" s="69"/>
    </row>
    <row r="34" spans="1:16" ht="15.75" customHeight="1" x14ac:dyDescent="0.25">
      <c r="A34" s="191"/>
      <c r="B34" s="191"/>
      <c r="C34" s="191">
        <f t="shared" si="6"/>
        <v>0</v>
      </c>
      <c r="D34" s="191">
        <f t="shared" si="7"/>
        <v>0</v>
      </c>
      <c r="E34" s="76">
        <f t="shared" ref="E34:K34" si="14">$C$34*$D$34*E23</f>
        <v>0</v>
      </c>
      <c r="F34" s="76">
        <f t="shared" si="14"/>
        <v>0</v>
      </c>
      <c r="G34" s="76">
        <f t="shared" si="14"/>
        <v>0</v>
      </c>
      <c r="H34" s="76">
        <f t="shared" si="14"/>
        <v>0</v>
      </c>
      <c r="I34" s="76">
        <f t="shared" si="14"/>
        <v>0</v>
      </c>
      <c r="J34" s="76">
        <f t="shared" si="14"/>
        <v>0</v>
      </c>
      <c r="K34" s="76">
        <f t="shared" si="14"/>
        <v>0</v>
      </c>
      <c r="P34" s="69"/>
    </row>
    <row r="35" spans="1:16" ht="15.75" customHeight="1" x14ac:dyDescent="0.25">
      <c r="A35" s="191"/>
      <c r="B35" s="191"/>
      <c r="C35" s="191">
        <f t="shared" si="6"/>
        <v>0</v>
      </c>
      <c r="D35" s="191">
        <f t="shared" si="7"/>
        <v>0</v>
      </c>
      <c r="E35" s="76">
        <f t="shared" ref="E35:K35" si="15">$C$35*$D$35*E23</f>
        <v>0</v>
      </c>
      <c r="F35" s="76">
        <f t="shared" si="15"/>
        <v>0</v>
      </c>
      <c r="G35" s="76">
        <f t="shared" si="15"/>
        <v>0</v>
      </c>
      <c r="H35" s="76">
        <f t="shared" si="15"/>
        <v>0</v>
      </c>
      <c r="I35" s="76">
        <f t="shared" si="15"/>
        <v>0</v>
      </c>
      <c r="J35" s="76">
        <f t="shared" si="15"/>
        <v>0</v>
      </c>
      <c r="K35" s="76">
        <f t="shared" si="15"/>
        <v>0</v>
      </c>
      <c r="P35" s="69"/>
    </row>
    <row r="36" spans="1:16" ht="15.75" customHeight="1" x14ac:dyDescent="0.25">
      <c r="A36" s="191"/>
      <c r="B36" s="191"/>
      <c r="C36" s="191">
        <f t="shared" si="6"/>
        <v>0</v>
      </c>
      <c r="D36" s="191">
        <f t="shared" si="7"/>
        <v>0</v>
      </c>
      <c r="E36" s="76">
        <f t="shared" ref="E36:K36" si="16">$C$36*$D$36*E23</f>
        <v>0</v>
      </c>
      <c r="F36" s="76">
        <f t="shared" si="16"/>
        <v>0</v>
      </c>
      <c r="G36" s="76">
        <f t="shared" si="16"/>
        <v>0</v>
      </c>
      <c r="H36" s="76">
        <f t="shared" si="16"/>
        <v>0</v>
      </c>
      <c r="I36" s="76">
        <f t="shared" si="16"/>
        <v>0</v>
      </c>
      <c r="J36" s="76">
        <f t="shared" si="16"/>
        <v>0</v>
      </c>
      <c r="K36" s="76">
        <f t="shared" si="16"/>
        <v>0</v>
      </c>
      <c r="P36" s="69"/>
    </row>
    <row r="37" spans="1:16" ht="15.75" customHeight="1" x14ac:dyDescent="0.25">
      <c r="A37" s="191"/>
      <c r="B37" s="191"/>
      <c r="C37" s="191">
        <f t="shared" si="6"/>
        <v>0</v>
      </c>
      <c r="D37" s="191">
        <f t="shared" si="7"/>
        <v>0</v>
      </c>
      <c r="E37" s="76">
        <f t="shared" ref="E37:K37" si="17">$C$37*$D$37*E23</f>
        <v>0</v>
      </c>
      <c r="F37" s="76">
        <f t="shared" si="17"/>
        <v>0</v>
      </c>
      <c r="G37" s="76">
        <f t="shared" si="17"/>
        <v>0</v>
      </c>
      <c r="H37" s="76">
        <f t="shared" si="17"/>
        <v>0</v>
      </c>
      <c r="I37" s="76">
        <f t="shared" si="17"/>
        <v>0</v>
      </c>
      <c r="J37" s="76">
        <f t="shared" si="17"/>
        <v>0</v>
      </c>
      <c r="K37" s="76">
        <f t="shared" si="17"/>
        <v>0</v>
      </c>
      <c r="P37" s="69"/>
    </row>
    <row r="38" spans="1:16" ht="15.75" customHeight="1" x14ac:dyDescent="0.25">
      <c r="A38" s="77"/>
      <c r="B38" s="77"/>
      <c r="C38" s="191">
        <f t="shared" si="6"/>
        <v>0</v>
      </c>
      <c r="D38" s="191">
        <f t="shared" si="7"/>
        <v>0</v>
      </c>
      <c r="E38" s="76">
        <f t="shared" ref="E38:K38" si="18">$C$38*$D$38*E23</f>
        <v>0</v>
      </c>
      <c r="F38" s="76">
        <f t="shared" si="18"/>
        <v>0</v>
      </c>
      <c r="G38" s="76">
        <f t="shared" si="18"/>
        <v>0</v>
      </c>
      <c r="H38" s="76">
        <f t="shared" si="18"/>
        <v>0</v>
      </c>
      <c r="I38" s="76">
        <f t="shared" si="18"/>
        <v>0</v>
      </c>
      <c r="J38" s="76">
        <f t="shared" si="18"/>
        <v>0</v>
      </c>
      <c r="K38" s="76">
        <f t="shared" si="18"/>
        <v>0</v>
      </c>
      <c r="P38" s="69"/>
    </row>
    <row r="39" spans="1:16" ht="15.75" customHeight="1" x14ac:dyDescent="0.25">
      <c r="A39" s="77" t="s">
        <v>354</v>
      </c>
      <c r="B39" s="77"/>
      <c r="C39" s="77"/>
      <c r="D39" s="77"/>
      <c r="E39" s="76">
        <f t="shared" ref="E39:K39" si="19">SUM(E28:E38)</f>
        <v>0</v>
      </c>
      <c r="F39" s="76">
        <f t="shared" si="19"/>
        <v>0</v>
      </c>
      <c r="G39" s="76">
        <f t="shared" si="19"/>
        <v>0</v>
      </c>
      <c r="H39" s="76">
        <f t="shared" si="19"/>
        <v>0</v>
      </c>
      <c r="I39" s="76">
        <f t="shared" si="19"/>
        <v>0</v>
      </c>
      <c r="J39" s="76">
        <f t="shared" si="19"/>
        <v>0</v>
      </c>
      <c r="K39" s="76">
        <f t="shared" si="19"/>
        <v>0</v>
      </c>
      <c r="P39" s="69"/>
    </row>
    <row r="40" spans="1:16" ht="15.75" customHeight="1" x14ac:dyDescent="0.25">
      <c r="A40" s="74"/>
      <c r="B40" s="74"/>
      <c r="C40" s="74"/>
      <c r="D40" s="74"/>
      <c r="E40" s="76"/>
      <c r="F40" s="76"/>
      <c r="G40" s="76"/>
      <c r="H40" s="76"/>
      <c r="I40" s="76"/>
      <c r="J40" s="76"/>
      <c r="K40" s="76"/>
      <c r="P40" s="69"/>
    </row>
    <row r="41" spans="1:16" ht="15.75" customHeight="1" x14ac:dyDescent="0.25">
      <c r="A41" s="77" t="s">
        <v>588</v>
      </c>
      <c r="B41" s="77"/>
      <c r="C41" s="77"/>
      <c r="D41" s="77"/>
      <c r="E41" s="76"/>
      <c r="F41" s="76"/>
      <c r="G41" s="76"/>
      <c r="H41" s="76"/>
      <c r="I41" s="76"/>
      <c r="J41" s="76"/>
      <c r="K41" s="76"/>
      <c r="P41" s="69"/>
    </row>
    <row r="42" spans="1:16" ht="15.75" customHeight="1" x14ac:dyDescent="0.25">
      <c r="A42" s="77" t="s">
        <v>656</v>
      </c>
      <c r="B42" s="77"/>
      <c r="C42" s="77"/>
      <c r="D42" s="77"/>
      <c r="E42" s="76"/>
      <c r="F42" s="76"/>
      <c r="G42" s="76"/>
      <c r="H42" s="76"/>
      <c r="I42" s="76"/>
      <c r="J42" s="76"/>
      <c r="K42" s="76"/>
    </row>
    <row r="43" spans="1:16" ht="15.75" customHeight="1" x14ac:dyDescent="0.25">
      <c r="A43" s="74" t="s">
        <v>657</v>
      </c>
      <c r="B43" s="74" t="s">
        <v>658</v>
      </c>
      <c r="C43" s="74">
        <f>SUM(J8:J17)</f>
        <v>0</v>
      </c>
      <c r="D43" s="50">
        <v>100</v>
      </c>
      <c r="E43" s="76">
        <f t="shared" ref="E43:K43" si="20">$C$43*$D$43*E23</f>
        <v>0</v>
      </c>
      <c r="F43" s="76">
        <f t="shared" si="20"/>
        <v>0</v>
      </c>
      <c r="G43" s="76">
        <f t="shared" si="20"/>
        <v>0</v>
      </c>
      <c r="H43" s="76">
        <f t="shared" si="20"/>
        <v>0</v>
      </c>
      <c r="I43" s="76">
        <f t="shared" si="20"/>
        <v>0</v>
      </c>
      <c r="J43" s="76">
        <f t="shared" si="20"/>
        <v>0</v>
      </c>
      <c r="K43" s="76">
        <f t="shared" si="20"/>
        <v>0</v>
      </c>
    </row>
    <row r="44" spans="1:16" ht="15.75" customHeight="1" x14ac:dyDescent="0.25">
      <c r="A44" s="74" t="s">
        <v>659</v>
      </c>
      <c r="B44" s="74" t="s">
        <v>660</v>
      </c>
      <c r="C44" s="74">
        <f>SUM(M8:M17)</f>
        <v>0</v>
      </c>
      <c r="D44" s="50">
        <v>300</v>
      </c>
      <c r="E44" s="76">
        <f t="shared" ref="E44:K44" si="21">$C$44*$D$44*E23</f>
        <v>0</v>
      </c>
      <c r="F44" s="76">
        <f t="shared" si="21"/>
        <v>0</v>
      </c>
      <c r="G44" s="76">
        <f t="shared" si="21"/>
        <v>0</v>
      </c>
      <c r="H44" s="76">
        <f t="shared" si="21"/>
        <v>0</v>
      </c>
      <c r="I44" s="76">
        <f t="shared" si="21"/>
        <v>0</v>
      </c>
      <c r="J44" s="76">
        <f t="shared" si="21"/>
        <v>0</v>
      </c>
      <c r="K44" s="76">
        <f t="shared" si="21"/>
        <v>0</v>
      </c>
    </row>
    <row r="45" spans="1:16" ht="15.75" customHeight="1" x14ac:dyDescent="0.25">
      <c r="A45" s="74"/>
      <c r="B45" s="74"/>
      <c r="C45" s="50"/>
      <c r="D45" s="50"/>
      <c r="E45" s="76"/>
      <c r="F45" s="76"/>
      <c r="G45" s="76"/>
      <c r="H45" s="76"/>
      <c r="I45" s="76"/>
      <c r="J45" s="76"/>
      <c r="K45" s="76"/>
    </row>
    <row r="46" spans="1:16" ht="15.75" customHeight="1" x14ac:dyDescent="0.25">
      <c r="A46" s="74"/>
      <c r="B46" s="74"/>
      <c r="C46" s="50"/>
      <c r="D46" s="50"/>
      <c r="E46" s="76"/>
      <c r="F46" s="76"/>
      <c r="G46" s="76"/>
      <c r="H46" s="76"/>
      <c r="I46" s="76"/>
      <c r="J46" s="76"/>
      <c r="K46" s="76"/>
    </row>
    <row r="47" spans="1:16" ht="15.75" customHeight="1" x14ac:dyDescent="0.25">
      <c r="A47" s="74"/>
      <c r="B47" s="74"/>
      <c r="C47" s="50"/>
      <c r="D47" s="50"/>
      <c r="E47" s="76"/>
      <c r="F47" s="76"/>
      <c r="G47" s="76"/>
      <c r="H47" s="76"/>
      <c r="I47" s="76"/>
      <c r="J47" s="76"/>
      <c r="K47" s="76"/>
    </row>
    <row r="48" spans="1:16" ht="15.75" customHeight="1" x14ac:dyDescent="0.25">
      <c r="A48" s="74"/>
      <c r="B48" s="74"/>
      <c r="C48" s="50"/>
      <c r="D48" s="50"/>
      <c r="E48" s="76"/>
      <c r="F48" s="76"/>
      <c r="G48" s="76"/>
      <c r="H48" s="76"/>
      <c r="I48" s="76"/>
      <c r="J48" s="76"/>
      <c r="K48" s="76"/>
    </row>
    <row r="49" spans="1:12" ht="15.75" customHeight="1" x14ac:dyDescent="0.25">
      <c r="A49" s="77" t="s">
        <v>356</v>
      </c>
      <c r="B49" s="77"/>
      <c r="C49" s="55"/>
      <c r="D49" s="55"/>
      <c r="E49" s="78">
        <f t="shared" ref="E49:K49" si="22">SUM(E43:E48)</f>
        <v>0</v>
      </c>
      <c r="F49" s="78">
        <f t="shared" si="22"/>
        <v>0</v>
      </c>
      <c r="G49" s="78">
        <f t="shared" si="22"/>
        <v>0</v>
      </c>
      <c r="H49" s="78">
        <f t="shared" si="22"/>
        <v>0</v>
      </c>
      <c r="I49" s="78">
        <f t="shared" si="22"/>
        <v>0</v>
      </c>
      <c r="J49" s="78">
        <f t="shared" si="22"/>
        <v>0</v>
      </c>
      <c r="K49" s="78">
        <f t="shared" si="22"/>
        <v>0</v>
      </c>
    </row>
    <row r="50" spans="1:12" ht="15.75" customHeight="1" x14ac:dyDescent="0.25">
      <c r="A50" s="77"/>
      <c r="B50" s="77"/>
      <c r="C50" s="55"/>
      <c r="D50" s="55"/>
      <c r="E50" s="78"/>
      <c r="F50" s="78"/>
      <c r="G50" s="78"/>
      <c r="H50" s="78"/>
      <c r="I50" s="78"/>
      <c r="J50" s="78"/>
      <c r="K50" s="78"/>
    </row>
    <row r="51" spans="1:12" ht="15.75" customHeight="1" x14ac:dyDescent="0.25">
      <c r="A51" s="187" t="s">
        <v>357</v>
      </c>
      <c r="B51" s="187"/>
      <c r="C51" s="275"/>
      <c r="D51" s="275"/>
      <c r="E51" s="76"/>
      <c r="F51" s="76"/>
      <c r="G51" s="76"/>
      <c r="H51" s="76"/>
      <c r="I51" s="76"/>
      <c r="J51" s="76"/>
      <c r="K51" s="76"/>
    </row>
    <row r="52" spans="1:12" ht="15.75" customHeight="1" x14ac:dyDescent="0.25">
      <c r="A52" s="191" t="s">
        <v>661</v>
      </c>
      <c r="B52" s="74" t="s">
        <v>159</v>
      </c>
      <c r="C52" s="275">
        <v>1</v>
      </c>
      <c r="D52" s="281"/>
      <c r="E52" s="76">
        <f t="shared" ref="E52:K52" si="23">$C$52*$D$52*12*E23</f>
        <v>0</v>
      </c>
      <c r="F52" s="76">
        <f t="shared" si="23"/>
        <v>0</v>
      </c>
      <c r="G52" s="76">
        <f t="shared" si="23"/>
        <v>0</v>
      </c>
      <c r="H52" s="76">
        <f t="shared" si="23"/>
        <v>0</v>
      </c>
      <c r="I52" s="76">
        <f t="shared" si="23"/>
        <v>0</v>
      </c>
      <c r="J52" s="76">
        <f t="shared" si="23"/>
        <v>0</v>
      </c>
      <c r="K52" s="76">
        <f t="shared" si="23"/>
        <v>0</v>
      </c>
    </row>
    <row r="53" spans="1:12" ht="15.75" customHeight="1" x14ac:dyDescent="0.25">
      <c r="A53" s="191"/>
      <c r="B53" s="191"/>
      <c r="C53" s="275"/>
      <c r="D53" s="281"/>
      <c r="E53" s="76"/>
      <c r="F53" s="76"/>
      <c r="G53" s="76"/>
      <c r="H53" s="76"/>
      <c r="I53" s="76"/>
      <c r="J53" s="76"/>
      <c r="K53" s="76"/>
    </row>
    <row r="54" spans="1:12" ht="15.75" customHeight="1" x14ac:dyDescent="0.25">
      <c r="A54" s="191"/>
      <c r="B54" s="191"/>
      <c r="C54" s="275"/>
      <c r="D54" s="281"/>
      <c r="E54" s="76"/>
      <c r="F54" s="76"/>
      <c r="G54" s="76"/>
      <c r="H54" s="76"/>
      <c r="I54" s="76"/>
      <c r="J54" s="76"/>
      <c r="K54" s="76"/>
    </row>
    <row r="55" spans="1:12" ht="15.75" customHeight="1" x14ac:dyDescent="0.25">
      <c r="A55" s="191"/>
      <c r="B55" s="191"/>
      <c r="C55" s="275"/>
      <c r="D55" s="281"/>
      <c r="E55" s="76"/>
      <c r="F55" s="76"/>
      <c r="G55" s="76"/>
      <c r="H55" s="76"/>
      <c r="I55" s="76"/>
      <c r="J55" s="76"/>
      <c r="K55" s="76"/>
    </row>
    <row r="56" spans="1:12" ht="15.75" customHeight="1" x14ac:dyDescent="0.25">
      <c r="A56" s="77" t="s">
        <v>359</v>
      </c>
      <c r="B56" s="77"/>
      <c r="C56" s="77"/>
      <c r="D56" s="77"/>
      <c r="E56" s="78">
        <f t="shared" ref="E56:K56" si="24">SUM(E52:E55)</f>
        <v>0</v>
      </c>
      <c r="F56" s="78">
        <f t="shared" si="24"/>
        <v>0</v>
      </c>
      <c r="G56" s="78">
        <f t="shared" si="24"/>
        <v>0</v>
      </c>
      <c r="H56" s="78">
        <f t="shared" si="24"/>
        <v>0</v>
      </c>
      <c r="I56" s="78">
        <f t="shared" si="24"/>
        <v>0</v>
      </c>
      <c r="J56" s="78">
        <f t="shared" si="24"/>
        <v>0</v>
      </c>
      <c r="K56" s="78">
        <f t="shared" si="24"/>
        <v>0</v>
      </c>
    </row>
    <row r="57" spans="1:12" ht="15.75" customHeight="1" x14ac:dyDescent="0.25">
      <c r="A57" s="77" t="s">
        <v>596</v>
      </c>
      <c r="B57" s="77"/>
      <c r="C57" s="77"/>
      <c r="D57" s="77"/>
      <c r="E57" s="78">
        <f t="shared" ref="E57:K57" si="25">E49+E56</f>
        <v>0</v>
      </c>
      <c r="F57" s="78">
        <f t="shared" si="25"/>
        <v>0</v>
      </c>
      <c r="G57" s="78">
        <f t="shared" si="25"/>
        <v>0</v>
      </c>
      <c r="H57" s="78">
        <f t="shared" si="25"/>
        <v>0</v>
      </c>
      <c r="I57" s="78">
        <f t="shared" si="25"/>
        <v>0</v>
      </c>
      <c r="J57" s="78">
        <f t="shared" si="25"/>
        <v>0</v>
      </c>
      <c r="K57" s="78">
        <f t="shared" si="25"/>
        <v>0</v>
      </c>
    </row>
    <row r="58" spans="1:12" ht="15.75" customHeight="1" x14ac:dyDescent="0.25">
      <c r="A58" s="74"/>
      <c r="B58" s="74"/>
      <c r="C58" s="74"/>
      <c r="D58" s="74"/>
      <c r="E58" s="76"/>
      <c r="F58" s="76"/>
      <c r="G58" s="76"/>
      <c r="H58" s="76"/>
      <c r="I58" s="76"/>
      <c r="J58" s="76"/>
      <c r="K58" s="76"/>
    </row>
    <row r="59" spans="1:12" ht="15.75" customHeight="1" x14ac:dyDescent="0.25">
      <c r="A59" s="77" t="s">
        <v>662</v>
      </c>
      <c r="B59" s="77"/>
      <c r="C59" s="77"/>
      <c r="D59" s="77"/>
      <c r="E59" s="78">
        <f t="shared" ref="E59:K59" si="26">E39-E57</f>
        <v>0</v>
      </c>
      <c r="F59" s="78">
        <f t="shared" si="26"/>
        <v>0</v>
      </c>
      <c r="G59" s="78">
        <f t="shared" si="26"/>
        <v>0</v>
      </c>
      <c r="H59" s="78">
        <f t="shared" si="26"/>
        <v>0</v>
      </c>
      <c r="I59" s="78">
        <f t="shared" si="26"/>
        <v>0</v>
      </c>
      <c r="J59" s="78">
        <f t="shared" si="26"/>
        <v>0</v>
      </c>
      <c r="K59" s="78">
        <f t="shared" si="26"/>
        <v>0</v>
      </c>
    </row>
    <row r="60" spans="1:12" ht="15.75" customHeight="1" x14ac:dyDescent="0.25">
      <c r="A60" s="93"/>
      <c r="B60" s="93"/>
      <c r="C60" s="93"/>
      <c r="D60" s="93"/>
      <c r="E60" s="282"/>
      <c r="F60" s="282"/>
      <c r="G60" s="282"/>
      <c r="H60" s="282"/>
      <c r="I60" s="282"/>
      <c r="J60" s="282"/>
      <c r="K60" s="282"/>
    </row>
    <row r="61" spans="1:12" ht="15.75" customHeight="1" x14ac:dyDescent="0.25">
      <c r="A61" s="69"/>
      <c r="B61" s="69"/>
      <c r="C61" s="93"/>
      <c r="D61" s="93"/>
      <c r="E61" s="282"/>
      <c r="F61" s="282"/>
      <c r="G61" s="282"/>
      <c r="H61" s="282"/>
      <c r="I61" s="282"/>
      <c r="J61" s="282"/>
      <c r="K61" s="282"/>
    </row>
    <row r="62" spans="1:12" ht="15.75" customHeight="1" x14ac:dyDescent="0.25">
      <c r="A62" s="356" t="s">
        <v>663</v>
      </c>
      <c r="B62" s="338"/>
      <c r="C62" s="338"/>
      <c r="D62" s="338"/>
      <c r="E62" s="338"/>
      <c r="F62" s="338"/>
      <c r="G62" s="338"/>
      <c r="H62" s="338"/>
      <c r="I62" s="338"/>
      <c r="J62" s="338"/>
      <c r="K62" s="338"/>
      <c r="L62" s="338"/>
    </row>
    <row r="63" spans="1:12" ht="15.75" customHeight="1" x14ac:dyDescent="0.25"/>
    <row r="64" spans="1:12" ht="15.75" customHeight="1" x14ac:dyDescent="0.25"/>
    <row r="65" spans="1:2" ht="15.75" customHeight="1" x14ac:dyDescent="0.25">
      <c r="A65" t="s">
        <v>312</v>
      </c>
    </row>
    <row r="66" spans="1:2" ht="15.75" customHeight="1" x14ac:dyDescent="0.25">
      <c r="A66">
        <v>1</v>
      </c>
      <c r="B66" t="s">
        <v>600</v>
      </c>
    </row>
    <row r="67" spans="1:2" ht="15.75" customHeight="1" x14ac:dyDescent="0.25">
      <c r="A67">
        <v>2</v>
      </c>
      <c r="B67" t="s">
        <v>601</v>
      </c>
    </row>
    <row r="68" spans="1:2" ht="15.75" customHeight="1" x14ac:dyDescent="0.25">
      <c r="A68">
        <v>3</v>
      </c>
      <c r="B68" s="69" t="s">
        <v>602</v>
      </c>
    </row>
    <row r="69" spans="1:2" ht="15.75" customHeight="1" x14ac:dyDescent="0.25"/>
    <row r="70" spans="1:2" ht="15.75" customHeight="1" x14ac:dyDescent="0.25"/>
    <row r="71" spans="1:2" ht="15.75" customHeight="1" x14ac:dyDescent="0.25"/>
    <row r="72" spans="1:2" ht="15.75" customHeight="1" x14ac:dyDescent="0.25"/>
    <row r="73" spans="1:2" ht="15.75" customHeight="1" x14ac:dyDescent="0.25"/>
    <row r="74" spans="1:2" ht="15.75" customHeight="1" x14ac:dyDescent="0.25"/>
    <row r="75" spans="1:2" ht="15.75" customHeight="1" x14ac:dyDescent="0.25"/>
    <row r="76" spans="1:2" ht="15.75" customHeight="1" x14ac:dyDescent="0.25"/>
    <row r="77" spans="1:2" ht="15.75" customHeight="1" x14ac:dyDescent="0.25"/>
    <row r="78" spans="1:2" ht="15.75" customHeight="1" x14ac:dyDescent="0.25"/>
    <row r="79" spans="1:2" ht="15.75" customHeight="1" x14ac:dyDescent="0.25"/>
    <row r="80" spans="1: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4">
    <mergeCell ref="A21:K21"/>
    <mergeCell ref="A3:L3"/>
    <mergeCell ref="A62:L62"/>
    <mergeCell ref="A4:L4"/>
  </mergeCells>
  <printOptions horizontalCentered="1"/>
  <pageMargins left="0.23622047244094491" right="0.23622047244094491" top="0.74803149606299213" bottom="0.74803149606299213" header="0.31496062992125984" footer="0.31496062992125984"/>
  <pageSetup paperSize="9" scale="65" fitToHeight="0" orientation="landscape" r:id="rId1"/>
  <rowBreaks count="1" manualBreakCount="1">
    <brk id="2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A103" zoomScale="60" zoomScaleNormal="100" workbookViewId="0">
      <selection activeCell="A126" sqref="A126:XFD126"/>
    </sheetView>
  </sheetViews>
  <sheetFormatPr defaultColWidth="14.42578125" defaultRowHeight="15" customHeight="1" x14ac:dyDescent="0.25"/>
  <cols>
    <col min="1" max="1" width="41.140625" customWidth="1"/>
    <col min="2" max="2" width="8.42578125" customWidth="1"/>
    <col min="3" max="3" width="12.28515625" bestFit="1" customWidth="1"/>
    <col min="4" max="4" width="16.85546875" bestFit="1" customWidth="1"/>
    <col min="5" max="5" width="17" bestFit="1" customWidth="1"/>
    <col min="6" max="10" width="14.7109375" customWidth="1"/>
    <col min="11" max="11" width="8.7109375" customWidth="1"/>
    <col min="12" max="12" width="27.140625" customWidth="1"/>
    <col min="13" max="17" width="8.7109375" customWidth="1"/>
    <col min="18" max="20" width="9.42578125" customWidth="1"/>
    <col min="21" max="21" width="8.7109375" customWidth="1"/>
    <col min="22" max="22" width="9.42578125" customWidth="1"/>
    <col min="23" max="23" width="8.7109375" customWidth="1"/>
  </cols>
  <sheetData>
    <row r="2" spans="1:9" ht="18.75" x14ac:dyDescent="0.3">
      <c r="A2" s="354" t="s">
        <v>664</v>
      </c>
      <c r="B2" s="338"/>
      <c r="C2" s="338"/>
      <c r="D2" s="338"/>
      <c r="E2" s="338"/>
      <c r="F2" s="338"/>
      <c r="G2" s="338"/>
      <c r="H2" s="338"/>
      <c r="I2" s="338"/>
    </row>
    <row r="4" spans="1:9" x14ac:dyDescent="0.25">
      <c r="A4" s="69"/>
      <c r="B4" s="69"/>
      <c r="C4" s="69"/>
      <c r="D4" s="69"/>
      <c r="E4" s="69"/>
      <c r="F4" s="69"/>
      <c r="G4" s="69"/>
      <c r="H4" s="69"/>
      <c r="I4" s="69"/>
    </row>
    <row r="5" spans="1:9" x14ac:dyDescent="0.25">
      <c r="A5" s="69"/>
      <c r="B5" s="69"/>
      <c r="C5" s="69"/>
      <c r="D5" s="69"/>
      <c r="E5" s="69"/>
      <c r="F5" s="69"/>
      <c r="G5" s="69"/>
      <c r="H5" s="69"/>
      <c r="I5" s="69"/>
    </row>
    <row r="6" spans="1:9" x14ac:dyDescent="0.25">
      <c r="A6" s="72" t="s">
        <v>82</v>
      </c>
      <c r="B6" s="72"/>
      <c r="C6" s="73" t="s">
        <v>151</v>
      </c>
      <c r="D6" s="73" t="s">
        <v>152</v>
      </c>
      <c r="E6" s="73" t="s">
        <v>153</v>
      </c>
      <c r="F6" s="73" t="s">
        <v>154</v>
      </c>
      <c r="G6" s="73" t="s">
        <v>155</v>
      </c>
      <c r="H6" s="73" t="s">
        <v>156</v>
      </c>
      <c r="I6" s="73" t="s">
        <v>157</v>
      </c>
    </row>
    <row r="7" spans="1:9" x14ac:dyDescent="0.25">
      <c r="A7" s="77" t="s">
        <v>665</v>
      </c>
      <c r="B7" s="74"/>
      <c r="C7" s="74"/>
      <c r="D7" s="74"/>
      <c r="E7" s="74"/>
      <c r="F7" s="74"/>
      <c r="G7" s="74"/>
      <c r="H7" s="74"/>
      <c r="I7" s="74"/>
    </row>
    <row r="8" spans="1:9" x14ac:dyDescent="0.25">
      <c r="A8" s="77" t="s">
        <v>666</v>
      </c>
      <c r="B8" s="266"/>
      <c r="C8" s="283"/>
      <c r="D8" s="283"/>
      <c r="E8" s="283"/>
      <c r="F8" s="283"/>
      <c r="G8" s="283"/>
      <c r="H8" s="283"/>
      <c r="I8" s="283"/>
    </row>
    <row r="9" spans="1:9" x14ac:dyDescent="0.25">
      <c r="A9" s="74" t="str">
        <f>'10.Grain Production details'!A92</f>
        <v>Turmeric</v>
      </c>
      <c r="B9" s="266"/>
      <c r="C9" s="283">
        <f>'10.Grain Production details'!B92</f>
        <v>0</v>
      </c>
      <c r="D9" s="283">
        <f>'10.Grain Production details'!C92</f>
        <v>0</v>
      </c>
      <c r="E9" s="283">
        <f>'10.Grain Production details'!D92</f>
        <v>0</v>
      </c>
      <c r="F9" s="283">
        <f>'10.Grain Production details'!E92</f>
        <v>0</v>
      </c>
      <c r="G9" s="283">
        <f>'10.Grain Production details'!F92</f>
        <v>0</v>
      </c>
      <c r="H9" s="283">
        <f>'10.Grain Production details'!G92</f>
        <v>0</v>
      </c>
      <c r="I9" s="283">
        <f>'10.Grain Production details'!H92</f>
        <v>0</v>
      </c>
    </row>
    <row r="10" spans="1:9" x14ac:dyDescent="0.25">
      <c r="A10" s="74" t="str">
        <f>'10.Grain Production details'!A93</f>
        <v>Red Gram/Tur</v>
      </c>
      <c r="B10" s="266"/>
      <c r="C10" s="283">
        <f>'10.Grain Production details'!B93</f>
        <v>0</v>
      </c>
      <c r="D10" s="283">
        <f>'10.Grain Production details'!C93</f>
        <v>0</v>
      </c>
      <c r="E10" s="283">
        <f>'10.Grain Production details'!D93</f>
        <v>0</v>
      </c>
      <c r="F10" s="283">
        <f>'10.Grain Production details'!E93</f>
        <v>0</v>
      </c>
      <c r="G10" s="283">
        <f>'10.Grain Production details'!F93</f>
        <v>0</v>
      </c>
      <c r="H10" s="283">
        <f>'10.Grain Production details'!G93</f>
        <v>0</v>
      </c>
      <c r="I10" s="283">
        <f>'10.Grain Production details'!H93</f>
        <v>0</v>
      </c>
    </row>
    <row r="11" spans="1:9" x14ac:dyDescent="0.25">
      <c r="A11" s="74" t="str">
        <f>'10.Grain Production details'!A94</f>
        <v>Paddy/Rice</v>
      </c>
      <c r="B11" s="266"/>
      <c r="C11" s="283">
        <f>'10.Grain Production details'!B94</f>
        <v>0</v>
      </c>
      <c r="D11" s="283">
        <f>'10.Grain Production details'!C94</f>
        <v>0</v>
      </c>
      <c r="E11" s="283">
        <f>'10.Grain Production details'!D94</f>
        <v>0</v>
      </c>
      <c r="F11" s="283">
        <f>'10.Grain Production details'!E94</f>
        <v>0</v>
      </c>
      <c r="G11" s="283">
        <f>'10.Grain Production details'!F94</f>
        <v>0</v>
      </c>
      <c r="H11" s="283">
        <f>'10.Grain Production details'!G94</f>
        <v>0</v>
      </c>
      <c r="I11" s="283">
        <f>'10.Grain Production details'!H94</f>
        <v>0</v>
      </c>
    </row>
    <row r="12" spans="1:9" x14ac:dyDescent="0.25">
      <c r="A12" s="74" t="str">
        <f>'10.Grain Production details'!A95</f>
        <v>Green Gram/ Moong</v>
      </c>
      <c r="B12" s="266"/>
      <c r="C12" s="283">
        <f>'10.Grain Production details'!B95</f>
        <v>0</v>
      </c>
      <c r="D12" s="283">
        <f>'10.Grain Production details'!C95</f>
        <v>0</v>
      </c>
      <c r="E12" s="283">
        <f>'10.Grain Production details'!D95</f>
        <v>0</v>
      </c>
      <c r="F12" s="283">
        <f>'10.Grain Production details'!E95</f>
        <v>0</v>
      </c>
      <c r="G12" s="283">
        <f>'10.Grain Production details'!F95</f>
        <v>0</v>
      </c>
      <c r="H12" s="283">
        <f>'10.Grain Production details'!G95</f>
        <v>0</v>
      </c>
      <c r="I12" s="283">
        <f>'10.Grain Production details'!H95</f>
        <v>0</v>
      </c>
    </row>
    <row r="13" spans="1:9" x14ac:dyDescent="0.25">
      <c r="A13" s="74" t="str">
        <f>'10.Grain Production details'!A96</f>
        <v>Maize</v>
      </c>
      <c r="B13" s="266"/>
      <c r="C13" s="283">
        <f>'10.Grain Production details'!B96</f>
        <v>0</v>
      </c>
      <c r="D13" s="283">
        <f>'10.Grain Production details'!C96</f>
        <v>0</v>
      </c>
      <c r="E13" s="283">
        <f>'10.Grain Production details'!D96</f>
        <v>0</v>
      </c>
      <c r="F13" s="283">
        <f>'10.Grain Production details'!E96</f>
        <v>0</v>
      </c>
      <c r="G13" s="283">
        <f>'10.Grain Production details'!F96</f>
        <v>0</v>
      </c>
      <c r="H13" s="283">
        <f>'10.Grain Production details'!G96</f>
        <v>0</v>
      </c>
      <c r="I13" s="283">
        <f>'10.Grain Production details'!H96</f>
        <v>0</v>
      </c>
    </row>
    <row r="14" spans="1:9" x14ac:dyDescent="0.25">
      <c r="A14" s="74" t="str">
        <f>'10.Grain Production details'!A97</f>
        <v>Black Gram/Udid</v>
      </c>
      <c r="B14" s="266"/>
      <c r="C14" s="283">
        <f>'10.Grain Production details'!B97</f>
        <v>0</v>
      </c>
      <c r="D14" s="283">
        <f>'10.Grain Production details'!C97</f>
        <v>0</v>
      </c>
      <c r="E14" s="283">
        <f>'10.Grain Production details'!D97</f>
        <v>0</v>
      </c>
      <c r="F14" s="283">
        <f>'10.Grain Production details'!E97</f>
        <v>0</v>
      </c>
      <c r="G14" s="283">
        <f>'10.Grain Production details'!F97</f>
        <v>0</v>
      </c>
      <c r="H14" s="283">
        <f>'10.Grain Production details'!G97</f>
        <v>0</v>
      </c>
      <c r="I14" s="283">
        <f>'10.Grain Production details'!H97</f>
        <v>0</v>
      </c>
    </row>
    <row r="15" spans="1:9" x14ac:dyDescent="0.25">
      <c r="A15" s="74" t="str">
        <f>'10.Grain Production details'!A98</f>
        <v>Bajra</v>
      </c>
      <c r="B15" s="266"/>
      <c r="C15" s="283">
        <f>'10.Grain Production details'!B98</f>
        <v>0</v>
      </c>
      <c r="D15" s="283">
        <f>'10.Grain Production details'!C98</f>
        <v>0</v>
      </c>
      <c r="E15" s="283">
        <f>'10.Grain Production details'!D98</f>
        <v>0</v>
      </c>
      <c r="F15" s="283">
        <f>'10.Grain Production details'!E98</f>
        <v>0</v>
      </c>
      <c r="G15" s="283">
        <f>'10.Grain Production details'!F98</f>
        <v>0</v>
      </c>
      <c r="H15" s="283">
        <f>'10.Grain Production details'!G98</f>
        <v>0</v>
      </c>
      <c r="I15" s="283">
        <f>'10.Grain Production details'!H98</f>
        <v>0</v>
      </c>
    </row>
    <row r="16" spans="1:9" x14ac:dyDescent="0.25">
      <c r="A16" s="74" t="str">
        <f>'10.Grain Production details'!A99</f>
        <v>Jawar</v>
      </c>
      <c r="B16" s="266"/>
      <c r="C16" s="283">
        <f>'10.Grain Production details'!B99</f>
        <v>0</v>
      </c>
      <c r="D16" s="283">
        <f>'10.Grain Production details'!C99</f>
        <v>0</v>
      </c>
      <c r="E16" s="283">
        <f>'10.Grain Production details'!D99</f>
        <v>0</v>
      </c>
      <c r="F16" s="283">
        <f>'10.Grain Production details'!E99</f>
        <v>0</v>
      </c>
      <c r="G16" s="283">
        <f>'10.Grain Production details'!F99</f>
        <v>0</v>
      </c>
      <c r="H16" s="283">
        <f>'10.Grain Production details'!G99</f>
        <v>0</v>
      </c>
      <c r="I16" s="283">
        <f>'10.Grain Production details'!H99</f>
        <v>0</v>
      </c>
    </row>
    <row r="17" spans="1:9" x14ac:dyDescent="0.25">
      <c r="A17" s="77" t="s">
        <v>667</v>
      </c>
      <c r="B17" s="266"/>
      <c r="C17" s="283"/>
      <c r="D17" s="283"/>
      <c r="E17" s="283"/>
      <c r="F17" s="283"/>
      <c r="G17" s="283"/>
      <c r="H17" s="283"/>
      <c r="I17" s="283"/>
    </row>
    <row r="18" spans="1:9" x14ac:dyDescent="0.25">
      <c r="A18" s="74" t="str">
        <f>'10.Grain Production details'!A101</f>
        <v>Wheat</v>
      </c>
      <c r="B18" s="266"/>
      <c r="C18" s="283">
        <f>'10.Grain Production details'!B101</f>
        <v>0</v>
      </c>
      <c r="D18" s="283">
        <f>'10.Grain Production details'!C101</f>
        <v>0</v>
      </c>
      <c r="E18" s="283">
        <f>'10.Grain Production details'!D101</f>
        <v>0</v>
      </c>
      <c r="F18" s="283">
        <f>'10.Grain Production details'!E101</f>
        <v>0</v>
      </c>
      <c r="G18" s="283">
        <f>'10.Grain Production details'!F101</f>
        <v>0</v>
      </c>
      <c r="H18" s="283">
        <f>'10.Grain Production details'!G101</f>
        <v>0</v>
      </c>
      <c r="I18" s="283">
        <f>'10.Grain Production details'!H101</f>
        <v>0</v>
      </c>
    </row>
    <row r="19" spans="1:9" x14ac:dyDescent="0.25">
      <c r="A19" s="74" t="str">
        <f>'10.Grain Production details'!A102</f>
        <v>Bengal Gram/Channa</v>
      </c>
      <c r="B19" s="266"/>
      <c r="C19" s="283">
        <f>'10.Grain Production details'!B102</f>
        <v>0</v>
      </c>
      <c r="D19" s="283">
        <f>'10.Grain Production details'!C102</f>
        <v>0</v>
      </c>
      <c r="E19" s="283">
        <f>'10.Grain Production details'!D102</f>
        <v>0</v>
      </c>
      <c r="F19" s="283">
        <f>'10.Grain Production details'!E102</f>
        <v>0</v>
      </c>
      <c r="G19" s="283">
        <f>'10.Grain Production details'!F102</f>
        <v>0</v>
      </c>
      <c r="H19" s="283">
        <f>'10.Grain Production details'!G102</f>
        <v>0</v>
      </c>
      <c r="I19" s="283">
        <f>'10.Grain Production details'!H102</f>
        <v>0</v>
      </c>
    </row>
    <row r="20" spans="1:9" x14ac:dyDescent="0.25">
      <c r="A20" s="74" t="str">
        <f>'10.Grain Production details'!A103</f>
        <v>Jawar</v>
      </c>
      <c r="B20" s="266"/>
      <c r="C20" s="283">
        <f>'10.Grain Production details'!B103</f>
        <v>0</v>
      </c>
      <c r="D20" s="283">
        <f>'10.Grain Production details'!C103</f>
        <v>0</v>
      </c>
      <c r="E20" s="283">
        <f>'10.Grain Production details'!D103</f>
        <v>0</v>
      </c>
      <c r="F20" s="283">
        <f>'10.Grain Production details'!E103</f>
        <v>0</v>
      </c>
      <c r="G20" s="283">
        <f>'10.Grain Production details'!F103</f>
        <v>0</v>
      </c>
      <c r="H20" s="283">
        <f>'10.Grain Production details'!G103</f>
        <v>0</v>
      </c>
      <c r="I20" s="283">
        <f>'10.Grain Production details'!H103</f>
        <v>0</v>
      </c>
    </row>
    <row r="21" spans="1:9" ht="15.75" customHeight="1" x14ac:dyDescent="0.25">
      <c r="A21" s="74" t="str">
        <f>'10.Grain Production details'!A104</f>
        <v>Maize</v>
      </c>
      <c r="B21" s="266"/>
      <c r="C21" s="283">
        <f>'10.Grain Production details'!B104</f>
        <v>0</v>
      </c>
      <c r="D21" s="283">
        <f>'10.Grain Production details'!C104</f>
        <v>0</v>
      </c>
      <c r="E21" s="283">
        <f>'10.Grain Production details'!D104</f>
        <v>0</v>
      </c>
      <c r="F21" s="283">
        <f>'10.Grain Production details'!E104</f>
        <v>0</v>
      </c>
      <c r="G21" s="283">
        <f>'10.Grain Production details'!F104</f>
        <v>0</v>
      </c>
      <c r="H21" s="283">
        <f>'10.Grain Production details'!G104</f>
        <v>0</v>
      </c>
      <c r="I21" s="283">
        <f>'10.Grain Production details'!H104</f>
        <v>0</v>
      </c>
    </row>
    <row r="22" spans="1:9" ht="15.75" customHeight="1" x14ac:dyDescent="0.25">
      <c r="A22" s="74" t="str">
        <f>'10.Grain Production details'!A105</f>
        <v>Safflower</v>
      </c>
      <c r="B22" s="266"/>
      <c r="C22" s="283">
        <f>'10.Grain Production details'!B105</f>
        <v>0</v>
      </c>
      <c r="D22" s="283">
        <f>'10.Grain Production details'!C105</f>
        <v>0</v>
      </c>
      <c r="E22" s="283">
        <f>'10.Grain Production details'!D105</f>
        <v>0</v>
      </c>
      <c r="F22" s="283">
        <f>'10.Grain Production details'!E105</f>
        <v>0</v>
      </c>
      <c r="G22" s="283">
        <f>'10.Grain Production details'!F105</f>
        <v>0</v>
      </c>
      <c r="H22" s="283">
        <f>'10.Grain Production details'!G105</f>
        <v>0</v>
      </c>
      <c r="I22" s="283">
        <f>'10.Grain Production details'!H105</f>
        <v>0</v>
      </c>
    </row>
    <row r="23" spans="1:9" ht="15.75" customHeight="1" x14ac:dyDescent="0.25">
      <c r="A23" s="74">
        <f>'10.Grain Production details'!A106</f>
        <v>0</v>
      </c>
      <c r="B23" s="266"/>
      <c r="C23" s="283">
        <f>'10.Grain Production details'!B106</f>
        <v>0</v>
      </c>
      <c r="D23" s="283">
        <f>'10.Grain Production details'!C106</f>
        <v>0</v>
      </c>
      <c r="E23" s="283">
        <f>'10.Grain Production details'!D106</f>
        <v>0</v>
      </c>
      <c r="F23" s="283">
        <f>'10.Grain Production details'!E106</f>
        <v>0</v>
      </c>
      <c r="G23" s="283">
        <f>'10.Grain Production details'!F106</f>
        <v>0</v>
      </c>
      <c r="H23" s="283">
        <f>'10.Grain Production details'!G106</f>
        <v>0</v>
      </c>
      <c r="I23" s="283">
        <f>'10.Grain Production details'!H106</f>
        <v>0</v>
      </c>
    </row>
    <row r="24" spans="1:9" ht="15.75" customHeight="1" x14ac:dyDescent="0.25">
      <c r="A24" s="74">
        <f>'10.Grain Production details'!A107</f>
        <v>0</v>
      </c>
      <c r="B24" s="266"/>
      <c r="C24" s="283">
        <f>'10.Grain Production details'!B107</f>
        <v>0</v>
      </c>
      <c r="D24" s="283">
        <f>'10.Grain Production details'!C107</f>
        <v>0</v>
      </c>
      <c r="E24" s="283">
        <f>'10.Grain Production details'!D107</f>
        <v>0</v>
      </c>
      <c r="F24" s="283">
        <f>'10.Grain Production details'!E107</f>
        <v>0</v>
      </c>
      <c r="G24" s="283">
        <f>'10.Grain Production details'!F107</f>
        <v>0</v>
      </c>
      <c r="H24" s="283">
        <f>'10.Grain Production details'!G107</f>
        <v>0</v>
      </c>
      <c r="I24" s="283">
        <f>'10.Grain Production details'!H107</f>
        <v>0</v>
      </c>
    </row>
    <row r="25" spans="1:9" ht="15.75" customHeight="1" x14ac:dyDescent="0.25">
      <c r="A25" s="74">
        <f>'10.Grain Production details'!A108</f>
        <v>0</v>
      </c>
      <c r="B25" s="266"/>
      <c r="C25" s="283">
        <f>'10.Grain Production details'!B108</f>
        <v>0</v>
      </c>
      <c r="D25" s="283">
        <f>'10.Grain Production details'!C108</f>
        <v>0</v>
      </c>
      <c r="E25" s="283">
        <f>'10.Grain Production details'!D108</f>
        <v>0</v>
      </c>
      <c r="F25" s="283">
        <f>'10.Grain Production details'!E108</f>
        <v>0</v>
      </c>
      <c r="G25" s="283">
        <f>'10.Grain Production details'!F108</f>
        <v>0</v>
      </c>
      <c r="H25" s="283">
        <f>'10.Grain Production details'!G108</f>
        <v>0</v>
      </c>
      <c r="I25" s="283">
        <f>'10.Grain Production details'!H108</f>
        <v>0</v>
      </c>
    </row>
    <row r="26" spans="1:9" ht="15.75" customHeight="1" x14ac:dyDescent="0.25">
      <c r="A26" s="77" t="str">
        <f>'10.Grain Production details'!A33</f>
        <v>Summer</v>
      </c>
      <c r="B26" s="266"/>
      <c r="C26" s="283"/>
      <c r="D26" s="283"/>
      <c r="E26" s="283"/>
      <c r="F26" s="283"/>
      <c r="G26" s="283"/>
      <c r="H26" s="283"/>
      <c r="I26" s="283"/>
    </row>
    <row r="27" spans="1:9" ht="15.75" customHeight="1" x14ac:dyDescent="0.25">
      <c r="A27" s="74" t="str">
        <f>'10.Grain Production details'!A109</f>
        <v>Turmeric</v>
      </c>
      <c r="B27" s="266"/>
      <c r="C27" s="283">
        <f>'10.Grain Production details'!B109</f>
        <v>49</v>
      </c>
      <c r="D27" s="283">
        <f>'10.Grain Production details'!C109</f>
        <v>61.25</v>
      </c>
      <c r="E27" s="283">
        <f>'10.Grain Production details'!D109</f>
        <v>73.5</v>
      </c>
      <c r="F27" s="283">
        <f>'10.Grain Production details'!E109</f>
        <v>85.75</v>
      </c>
      <c r="G27" s="283">
        <f>'10.Grain Production details'!F109</f>
        <v>98</v>
      </c>
      <c r="H27" s="283">
        <f>'10.Grain Production details'!G109</f>
        <v>110.25</v>
      </c>
      <c r="I27" s="283">
        <f>'10.Grain Production details'!H109</f>
        <v>122.5</v>
      </c>
    </row>
    <row r="28" spans="1:9" ht="15.75" customHeight="1" x14ac:dyDescent="0.25">
      <c r="A28" s="74">
        <f>'10.Grain Production details'!A110</f>
        <v>0</v>
      </c>
      <c r="B28" s="266"/>
      <c r="C28" s="283">
        <f>'10.Grain Production details'!B111</f>
        <v>0</v>
      </c>
      <c r="D28" s="283">
        <f>'10.Grain Production details'!C111</f>
        <v>0</v>
      </c>
      <c r="E28" s="283">
        <f>'10.Grain Production details'!D111</f>
        <v>0</v>
      </c>
      <c r="F28" s="283">
        <f>'10.Grain Production details'!E111</f>
        <v>0</v>
      </c>
      <c r="G28" s="283">
        <f>'10.Grain Production details'!F111</f>
        <v>0</v>
      </c>
      <c r="H28" s="283">
        <f>'10.Grain Production details'!G111</f>
        <v>0</v>
      </c>
      <c r="I28" s="283">
        <f>'10.Grain Production details'!H111</f>
        <v>0</v>
      </c>
    </row>
    <row r="29" spans="1:9" ht="15.75" customHeight="1" x14ac:dyDescent="0.25">
      <c r="A29" s="74">
        <f>'10.Grain Production details'!A111</f>
        <v>0</v>
      </c>
      <c r="B29" s="266"/>
      <c r="C29" s="283">
        <f>'10.Grain Production details'!B112</f>
        <v>0</v>
      </c>
      <c r="D29" s="283">
        <f>'10.Grain Production details'!C112</f>
        <v>0</v>
      </c>
      <c r="E29" s="283">
        <f>'10.Grain Production details'!D112</f>
        <v>0</v>
      </c>
      <c r="F29" s="283">
        <f>'10.Grain Production details'!E112</f>
        <v>0</v>
      </c>
      <c r="G29" s="283">
        <f>'10.Grain Production details'!F112</f>
        <v>0</v>
      </c>
      <c r="H29" s="283">
        <f>'10.Grain Production details'!G112</f>
        <v>0</v>
      </c>
      <c r="I29" s="283">
        <f>'10.Grain Production details'!H112</f>
        <v>0</v>
      </c>
    </row>
    <row r="30" spans="1:9" ht="15.75" customHeight="1" x14ac:dyDescent="0.25">
      <c r="A30" s="74">
        <f>'10.Grain Production details'!A112</f>
        <v>0</v>
      </c>
      <c r="B30" s="266"/>
      <c r="C30" s="283">
        <f>'10.Grain Production details'!B113</f>
        <v>0</v>
      </c>
      <c r="D30" s="283">
        <f>'10.Grain Production details'!C113</f>
        <v>0</v>
      </c>
      <c r="E30" s="283">
        <f>'10.Grain Production details'!D113</f>
        <v>0</v>
      </c>
      <c r="F30" s="283">
        <f>'10.Grain Production details'!E113</f>
        <v>0</v>
      </c>
      <c r="G30" s="283">
        <f>'10.Grain Production details'!F113</f>
        <v>0</v>
      </c>
      <c r="H30" s="283">
        <f>'10.Grain Production details'!G113</f>
        <v>0</v>
      </c>
      <c r="I30" s="283">
        <f>'10.Grain Production details'!H113</f>
        <v>0</v>
      </c>
    </row>
    <row r="31" spans="1:9" ht="15.75" customHeight="1" x14ac:dyDescent="0.25">
      <c r="A31" s="74">
        <f>'10.Grain Production details'!A113</f>
        <v>0</v>
      </c>
      <c r="B31" s="266"/>
      <c r="C31" s="283">
        <f>'10.Grain Production details'!C114</f>
        <v>0</v>
      </c>
      <c r="D31" s="283">
        <f>'10.Grain Production details'!D114</f>
        <v>0</v>
      </c>
      <c r="E31" s="283">
        <f>'10.Grain Production details'!E114</f>
        <v>0</v>
      </c>
      <c r="F31" s="283">
        <f>'10.Grain Production details'!F114</f>
        <v>0</v>
      </c>
      <c r="G31" s="283">
        <f>'10.Grain Production details'!G114</f>
        <v>0</v>
      </c>
      <c r="H31" s="283">
        <f>'10.Grain Production details'!H114</f>
        <v>0</v>
      </c>
      <c r="I31" s="283">
        <f>'10.Grain Production details'!I114</f>
        <v>0</v>
      </c>
    </row>
    <row r="32" spans="1:9" ht="15.75" customHeight="1" x14ac:dyDescent="0.25">
      <c r="A32" s="77" t="str">
        <f>'11.F&amp;V Crop Production details'!A1:H1</f>
        <v>Fruit  &amp; Vegetables Crop Production Details</v>
      </c>
      <c r="B32" s="266"/>
      <c r="C32" s="283"/>
      <c r="D32" s="283"/>
      <c r="E32" s="283"/>
      <c r="F32" s="283"/>
      <c r="G32" s="283"/>
      <c r="H32" s="283"/>
      <c r="I32" s="283"/>
    </row>
    <row r="33" spans="1:9" ht="15.75" customHeight="1" x14ac:dyDescent="0.25">
      <c r="A33" s="74" t="str">
        <f>'11.F&amp;V Crop Production details'!A102</f>
        <v>Onion</v>
      </c>
      <c r="B33" s="266"/>
      <c r="C33" s="283">
        <f>'11.F&amp;V Crop Production details'!B102</f>
        <v>0</v>
      </c>
      <c r="D33" s="283">
        <f>'11.F&amp;V Crop Production details'!C102</f>
        <v>0</v>
      </c>
      <c r="E33" s="283">
        <f>'11.F&amp;V Crop Production details'!D102</f>
        <v>0</v>
      </c>
      <c r="F33" s="283">
        <f>'11.F&amp;V Crop Production details'!E102</f>
        <v>0</v>
      </c>
      <c r="G33" s="283">
        <f>'11.F&amp;V Crop Production details'!F102</f>
        <v>0</v>
      </c>
      <c r="H33" s="283">
        <f>'11.F&amp;V Crop Production details'!G102</f>
        <v>0</v>
      </c>
      <c r="I33" s="283">
        <f>'11.F&amp;V Crop Production details'!H102</f>
        <v>0</v>
      </c>
    </row>
    <row r="34" spans="1:9" ht="15.75" customHeight="1" x14ac:dyDescent="0.25">
      <c r="A34" s="74" t="str">
        <f>'11.F&amp;V Crop Production details'!A103</f>
        <v>Tomato</v>
      </c>
      <c r="B34" s="266"/>
      <c r="C34" s="283">
        <f>'11.F&amp;V Crop Production details'!B103</f>
        <v>0</v>
      </c>
      <c r="D34" s="283">
        <f>'11.F&amp;V Crop Production details'!C103</f>
        <v>0</v>
      </c>
      <c r="E34" s="283">
        <f>'11.F&amp;V Crop Production details'!D103</f>
        <v>0</v>
      </c>
      <c r="F34" s="283">
        <f>'11.F&amp;V Crop Production details'!E103</f>
        <v>0</v>
      </c>
      <c r="G34" s="283">
        <f>'11.F&amp;V Crop Production details'!F103</f>
        <v>0</v>
      </c>
      <c r="H34" s="283">
        <f>'11.F&amp;V Crop Production details'!G103</f>
        <v>0</v>
      </c>
      <c r="I34" s="283">
        <f>'11.F&amp;V Crop Production details'!H103</f>
        <v>0</v>
      </c>
    </row>
    <row r="35" spans="1:9" ht="15.75" customHeight="1" x14ac:dyDescent="0.25">
      <c r="A35" s="74" t="str">
        <f>'11.F&amp;V Crop Production details'!A104</f>
        <v>Okra</v>
      </c>
      <c r="B35" s="266"/>
      <c r="C35" s="283">
        <f>'11.F&amp;V Crop Production details'!B104</f>
        <v>0</v>
      </c>
      <c r="D35" s="283">
        <f>'11.F&amp;V Crop Production details'!C104</f>
        <v>0</v>
      </c>
      <c r="E35" s="283">
        <f>'11.F&amp;V Crop Production details'!D104</f>
        <v>0</v>
      </c>
      <c r="F35" s="283">
        <f>'11.F&amp;V Crop Production details'!E104</f>
        <v>0</v>
      </c>
      <c r="G35" s="283">
        <f>'11.F&amp;V Crop Production details'!F104</f>
        <v>0</v>
      </c>
      <c r="H35" s="283">
        <f>'11.F&amp;V Crop Production details'!G104</f>
        <v>0</v>
      </c>
      <c r="I35" s="283">
        <f>'11.F&amp;V Crop Production details'!H104</f>
        <v>0</v>
      </c>
    </row>
    <row r="36" spans="1:9" ht="15.75" customHeight="1" x14ac:dyDescent="0.25">
      <c r="A36" s="74" t="str">
        <f>'11.F&amp;V Crop Production details'!A105</f>
        <v>Chilli</v>
      </c>
      <c r="B36" s="266"/>
      <c r="C36" s="283">
        <f>'11.F&amp;V Crop Production details'!B105</f>
        <v>0</v>
      </c>
      <c r="D36" s="283">
        <f>'11.F&amp;V Crop Production details'!C105</f>
        <v>0</v>
      </c>
      <c r="E36" s="283">
        <f>'11.F&amp;V Crop Production details'!D105</f>
        <v>0</v>
      </c>
      <c r="F36" s="283">
        <f>'11.F&amp;V Crop Production details'!E105</f>
        <v>0</v>
      </c>
      <c r="G36" s="283">
        <f>'11.F&amp;V Crop Production details'!F105</f>
        <v>0</v>
      </c>
      <c r="H36" s="283">
        <f>'11.F&amp;V Crop Production details'!G105</f>
        <v>0</v>
      </c>
      <c r="I36" s="283">
        <f>'11.F&amp;V Crop Production details'!H105</f>
        <v>0</v>
      </c>
    </row>
    <row r="37" spans="1:9" ht="15.75" customHeight="1" x14ac:dyDescent="0.25">
      <c r="A37" s="74" t="str">
        <f>'11.F&amp;V Crop Production details'!A106</f>
        <v>Potato</v>
      </c>
      <c r="B37" s="266"/>
      <c r="C37" s="283">
        <f>'11.F&amp;V Crop Production details'!B106</f>
        <v>0</v>
      </c>
      <c r="D37" s="283">
        <f>'11.F&amp;V Crop Production details'!C106</f>
        <v>0</v>
      </c>
      <c r="E37" s="283">
        <f>'11.F&amp;V Crop Production details'!D106</f>
        <v>0</v>
      </c>
      <c r="F37" s="283">
        <f>'11.F&amp;V Crop Production details'!E106</f>
        <v>0</v>
      </c>
      <c r="G37" s="283">
        <f>'11.F&amp;V Crop Production details'!F106</f>
        <v>0</v>
      </c>
      <c r="H37" s="283">
        <f>'11.F&amp;V Crop Production details'!G106</f>
        <v>0</v>
      </c>
      <c r="I37" s="283">
        <f>'11.F&amp;V Crop Production details'!H106</f>
        <v>0</v>
      </c>
    </row>
    <row r="38" spans="1:9" ht="15.75" customHeight="1" x14ac:dyDescent="0.25">
      <c r="A38" s="74">
        <f>'11.F&amp;V Crop Production details'!A107</f>
        <v>0</v>
      </c>
      <c r="B38" s="266"/>
      <c r="C38" s="283">
        <f>'11.F&amp;V Crop Production details'!B107</f>
        <v>0</v>
      </c>
      <c r="D38" s="283">
        <f>'11.F&amp;V Crop Production details'!C107</f>
        <v>0</v>
      </c>
      <c r="E38" s="283">
        <f>'11.F&amp;V Crop Production details'!D107</f>
        <v>0</v>
      </c>
      <c r="F38" s="283">
        <f>'11.F&amp;V Crop Production details'!E107</f>
        <v>0</v>
      </c>
      <c r="G38" s="283">
        <f>'11.F&amp;V Crop Production details'!F107</f>
        <v>0</v>
      </c>
      <c r="H38" s="283">
        <f>'11.F&amp;V Crop Production details'!G107</f>
        <v>0</v>
      </c>
      <c r="I38" s="283">
        <f>'11.F&amp;V Crop Production details'!H107</f>
        <v>0</v>
      </c>
    </row>
    <row r="39" spans="1:9" ht="15.75" customHeight="1" x14ac:dyDescent="0.25">
      <c r="A39" s="74">
        <f>'11.F&amp;V Crop Production details'!A108</f>
        <v>0</v>
      </c>
      <c r="B39" s="266"/>
      <c r="C39" s="283">
        <f>'11.F&amp;V Crop Production details'!B108</f>
        <v>0</v>
      </c>
      <c r="D39" s="283">
        <f>'11.F&amp;V Crop Production details'!C108</f>
        <v>0</v>
      </c>
      <c r="E39" s="283">
        <f>'11.F&amp;V Crop Production details'!D108</f>
        <v>0</v>
      </c>
      <c r="F39" s="283">
        <f>'11.F&amp;V Crop Production details'!E108</f>
        <v>0</v>
      </c>
      <c r="G39" s="283">
        <f>'11.F&amp;V Crop Production details'!F108</f>
        <v>0</v>
      </c>
      <c r="H39" s="283">
        <f>'11.F&amp;V Crop Production details'!G108</f>
        <v>0</v>
      </c>
      <c r="I39" s="283">
        <f>'11.F&amp;V Crop Production details'!H108</f>
        <v>0</v>
      </c>
    </row>
    <row r="40" spans="1:9" ht="15.75" customHeight="1" x14ac:dyDescent="0.25">
      <c r="A40" s="74">
        <f>'11.F&amp;V Crop Production details'!A109</f>
        <v>0</v>
      </c>
      <c r="B40" s="266"/>
      <c r="C40" s="283">
        <f>'11.F&amp;V Crop Production details'!B109</f>
        <v>0</v>
      </c>
      <c r="D40" s="283">
        <f>'11.F&amp;V Crop Production details'!C109</f>
        <v>0</v>
      </c>
      <c r="E40" s="283">
        <f>'11.F&amp;V Crop Production details'!D109</f>
        <v>0</v>
      </c>
      <c r="F40" s="283">
        <f>'11.F&amp;V Crop Production details'!E109</f>
        <v>0</v>
      </c>
      <c r="G40" s="283">
        <f>'11.F&amp;V Crop Production details'!F109</f>
        <v>0</v>
      </c>
      <c r="H40" s="283">
        <f>'11.F&amp;V Crop Production details'!G109</f>
        <v>0</v>
      </c>
      <c r="I40" s="283">
        <f>'11.F&amp;V Crop Production details'!H109</f>
        <v>0</v>
      </c>
    </row>
    <row r="41" spans="1:9" ht="15.75" customHeight="1" x14ac:dyDescent="0.25">
      <c r="A41" s="74">
        <f>'11.F&amp;V Crop Production details'!A110</f>
        <v>0</v>
      </c>
      <c r="B41" s="266"/>
      <c r="C41" s="283">
        <f>'11.F&amp;V Crop Production details'!B110</f>
        <v>0</v>
      </c>
      <c r="D41" s="283">
        <f>'11.F&amp;V Crop Production details'!C110</f>
        <v>0</v>
      </c>
      <c r="E41" s="283">
        <f>'11.F&amp;V Crop Production details'!D110</f>
        <v>0</v>
      </c>
      <c r="F41" s="283">
        <f>'11.F&amp;V Crop Production details'!E110</f>
        <v>0</v>
      </c>
      <c r="G41" s="283">
        <f>'11.F&amp;V Crop Production details'!F110</f>
        <v>0</v>
      </c>
      <c r="H41" s="283">
        <f>'11.F&amp;V Crop Production details'!G110</f>
        <v>0</v>
      </c>
      <c r="I41" s="283">
        <f>'11.F&amp;V Crop Production details'!H110</f>
        <v>0</v>
      </c>
    </row>
    <row r="42" spans="1:9" ht="15.75" customHeight="1" x14ac:dyDescent="0.25">
      <c r="A42" s="74" t="str">
        <f>'11.F&amp;V Crop Production details'!A111</f>
        <v>Onion</v>
      </c>
      <c r="B42" s="266"/>
      <c r="C42" s="283">
        <f>'11.F&amp;V Crop Production details'!B111</f>
        <v>0</v>
      </c>
      <c r="D42" s="283">
        <f>'11.F&amp;V Crop Production details'!C111</f>
        <v>0</v>
      </c>
      <c r="E42" s="283">
        <f>'11.F&amp;V Crop Production details'!D111</f>
        <v>0</v>
      </c>
      <c r="F42" s="283">
        <f>'11.F&amp;V Crop Production details'!E111</f>
        <v>0</v>
      </c>
      <c r="G42" s="283">
        <f>'11.F&amp;V Crop Production details'!F111</f>
        <v>0</v>
      </c>
      <c r="H42" s="283">
        <f>'11.F&amp;V Crop Production details'!G111</f>
        <v>0</v>
      </c>
      <c r="I42" s="283">
        <f>'11.F&amp;V Crop Production details'!H111</f>
        <v>0</v>
      </c>
    </row>
    <row r="43" spans="1:9" ht="15.75" customHeight="1" x14ac:dyDescent="0.25">
      <c r="A43" s="74" t="str">
        <f>'11.F&amp;V Crop Production details'!A112</f>
        <v>Tomato</v>
      </c>
      <c r="B43" s="266"/>
      <c r="C43" s="283">
        <f>'11.F&amp;V Crop Production details'!B112</f>
        <v>0</v>
      </c>
      <c r="D43" s="283">
        <f>'11.F&amp;V Crop Production details'!C112</f>
        <v>0</v>
      </c>
      <c r="E43" s="283">
        <f>'11.F&amp;V Crop Production details'!D112</f>
        <v>0</v>
      </c>
      <c r="F43" s="283">
        <f>'11.F&amp;V Crop Production details'!E112</f>
        <v>0</v>
      </c>
      <c r="G43" s="283">
        <f>'11.F&amp;V Crop Production details'!F112</f>
        <v>0</v>
      </c>
      <c r="H43" s="283">
        <f>'11.F&amp;V Crop Production details'!G112</f>
        <v>0</v>
      </c>
      <c r="I43" s="283">
        <f>'11.F&amp;V Crop Production details'!H112</f>
        <v>0</v>
      </c>
    </row>
    <row r="44" spans="1:9" ht="15.75" customHeight="1" x14ac:dyDescent="0.25">
      <c r="A44" s="74" t="str">
        <f>'11.F&amp;V Crop Production details'!A113</f>
        <v>Okra</v>
      </c>
      <c r="B44" s="266"/>
      <c r="C44" s="283">
        <f>'11.F&amp;V Crop Production details'!B113</f>
        <v>0</v>
      </c>
      <c r="D44" s="283">
        <f>'11.F&amp;V Crop Production details'!C113</f>
        <v>0</v>
      </c>
      <c r="E44" s="283">
        <f>'11.F&amp;V Crop Production details'!D113</f>
        <v>0</v>
      </c>
      <c r="F44" s="283">
        <f>'11.F&amp;V Crop Production details'!E113</f>
        <v>0</v>
      </c>
      <c r="G44" s="283">
        <f>'11.F&amp;V Crop Production details'!F113</f>
        <v>0</v>
      </c>
      <c r="H44" s="283">
        <f>'11.F&amp;V Crop Production details'!G113</f>
        <v>0</v>
      </c>
      <c r="I44" s="283">
        <f>'11.F&amp;V Crop Production details'!H113</f>
        <v>0</v>
      </c>
    </row>
    <row r="45" spans="1:9" ht="15.75" customHeight="1" x14ac:dyDescent="0.25">
      <c r="A45" s="74" t="str">
        <f>'11.F&amp;V Crop Production details'!A114</f>
        <v>Chilli</v>
      </c>
      <c r="B45" s="266"/>
      <c r="C45" s="283">
        <f>'11.F&amp;V Crop Production details'!B114</f>
        <v>0</v>
      </c>
      <c r="D45" s="283">
        <f>'11.F&amp;V Crop Production details'!C114</f>
        <v>0</v>
      </c>
      <c r="E45" s="283">
        <f>'11.F&amp;V Crop Production details'!D114</f>
        <v>0</v>
      </c>
      <c r="F45" s="283">
        <f>'11.F&amp;V Crop Production details'!E114</f>
        <v>0</v>
      </c>
      <c r="G45" s="283">
        <f>'11.F&amp;V Crop Production details'!F114</f>
        <v>0</v>
      </c>
      <c r="H45" s="283">
        <f>'11.F&amp;V Crop Production details'!G114</f>
        <v>0</v>
      </c>
      <c r="I45" s="283">
        <f>'11.F&amp;V Crop Production details'!H114</f>
        <v>0</v>
      </c>
    </row>
    <row r="46" spans="1:9" ht="15.75" customHeight="1" x14ac:dyDescent="0.25">
      <c r="A46" s="74" t="str">
        <f>'11.F&amp;V Crop Production details'!A115</f>
        <v>Brinjal</v>
      </c>
      <c r="B46" s="266"/>
      <c r="C46" s="283">
        <f>'11.F&amp;V Crop Production details'!B115</f>
        <v>0</v>
      </c>
      <c r="D46" s="283">
        <f>'11.F&amp;V Crop Production details'!C115</f>
        <v>0</v>
      </c>
      <c r="E46" s="283">
        <f>'11.F&amp;V Crop Production details'!D115</f>
        <v>0</v>
      </c>
      <c r="F46" s="283">
        <f>'11.F&amp;V Crop Production details'!E115</f>
        <v>0</v>
      </c>
      <c r="G46" s="283">
        <f>'11.F&amp;V Crop Production details'!F115</f>
        <v>0</v>
      </c>
      <c r="H46" s="283">
        <f>'11.F&amp;V Crop Production details'!G115</f>
        <v>0</v>
      </c>
      <c r="I46" s="283">
        <f>'11.F&amp;V Crop Production details'!H115</f>
        <v>0</v>
      </c>
    </row>
    <row r="47" spans="1:9" ht="15.75" customHeight="1" x14ac:dyDescent="0.25">
      <c r="A47" s="74">
        <f>'11.F&amp;V Crop Production details'!A116</f>
        <v>0</v>
      </c>
      <c r="B47" s="266"/>
      <c r="C47" s="283">
        <f>'11.F&amp;V Crop Production details'!B116</f>
        <v>0</v>
      </c>
      <c r="D47" s="283">
        <f>'11.F&amp;V Crop Production details'!C116</f>
        <v>0</v>
      </c>
      <c r="E47" s="283">
        <f>'11.F&amp;V Crop Production details'!D116</f>
        <v>0</v>
      </c>
      <c r="F47" s="283">
        <f>'11.F&amp;V Crop Production details'!E116</f>
        <v>0</v>
      </c>
      <c r="G47" s="283">
        <f>'11.F&amp;V Crop Production details'!F116</f>
        <v>0</v>
      </c>
      <c r="H47" s="283">
        <f>'11.F&amp;V Crop Production details'!G116</f>
        <v>0</v>
      </c>
      <c r="I47" s="283">
        <f>'11.F&amp;V Crop Production details'!H116</f>
        <v>0</v>
      </c>
    </row>
    <row r="48" spans="1:9" ht="15.75" customHeight="1" x14ac:dyDescent="0.25">
      <c r="A48" s="74">
        <f>'11.F&amp;V Crop Production details'!A117</f>
        <v>0</v>
      </c>
      <c r="B48" s="266"/>
      <c r="C48" s="283">
        <f>'11.F&amp;V Crop Production details'!B117</f>
        <v>0</v>
      </c>
      <c r="D48" s="283">
        <f>'11.F&amp;V Crop Production details'!C117</f>
        <v>0</v>
      </c>
      <c r="E48" s="283">
        <f>'11.F&amp;V Crop Production details'!D117</f>
        <v>0</v>
      </c>
      <c r="F48" s="283">
        <f>'11.F&amp;V Crop Production details'!E117</f>
        <v>0</v>
      </c>
      <c r="G48" s="283">
        <f>'11.F&amp;V Crop Production details'!F117</f>
        <v>0</v>
      </c>
      <c r="H48" s="283">
        <f>'11.F&amp;V Crop Production details'!G117</f>
        <v>0</v>
      </c>
      <c r="I48" s="283">
        <f>'11.F&amp;V Crop Production details'!H117</f>
        <v>0</v>
      </c>
    </row>
    <row r="49" spans="1:9" ht="15.75" customHeight="1" x14ac:dyDescent="0.25">
      <c r="A49" s="74">
        <f>'11.F&amp;V Crop Production details'!A118</f>
        <v>0</v>
      </c>
      <c r="B49" s="266"/>
      <c r="C49" s="283">
        <f>'11.F&amp;V Crop Production details'!B118</f>
        <v>0</v>
      </c>
      <c r="D49" s="283">
        <f>'11.F&amp;V Crop Production details'!C118</f>
        <v>0</v>
      </c>
      <c r="E49" s="283">
        <f>'11.F&amp;V Crop Production details'!D118</f>
        <v>0</v>
      </c>
      <c r="F49" s="283">
        <f>'11.F&amp;V Crop Production details'!E118</f>
        <v>0</v>
      </c>
      <c r="G49" s="283">
        <f>'11.F&amp;V Crop Production details'!F118</f>
        <v>0</v>
      </c>
      <c r="H49" s="283">
        <f>'11.F&amp;V Crop Production details'!G118</f>
        <v>0</v>
      </c>
      <c r="I49" s="283">
        <f>'11.F&amp;V Crop Production details'!H118</f>
        <v>0</v>
      </c>
    </row>
    <row r="50" spans="1:9" ht="15.75" customHeight="1" x14ac:dyDescent="0.25">
      <c r="A50" s="74">
        <f>'11.F&amp;V Crop Production details'!A119</f>
        <v>0</v>
      </c>
      <c r="B50" s="266"/>
      <c r="C50" s="283">
        <f>'11.F&amp;V Crop Production details'!B119</f>
        <v>0</v>
      </c>
      <c r="D50" s="283">
        <f>'11.F&amp;V Crop Production details'!C119</f>
        <v>0</v>
      </c>
      <c r="E50" s="283">
        <f>'11.F&amp;V Crop Production details'!D119</f>
        <v>0</v>
      </c>
      <c r="F50" s="283">
        <f>'11.F&amp;V Crop Production details'!E119</f>
        <v>0</v>
      </c>
      <c r="G50" s="283">
        <f>'11.F&amp;V Crop Production details'!F119</f>
        <v>0</v>
      </c>
      <c r="H50" s="283">
        <f>'11.F&amp;V Crop Production details'!G119</f>
        <v>0</v>
      </c>
      <c r="I50" s="283">
        <f>'11.F&amp;V Crop Production details'!H119</f>
        <v>0</v>
      </c>
    </row>
    <row r="51" spans="1:9" ht="15.75" customHeight="1" x14ac:dyDescent="0.25">
      <c r="A51" s="74">
        <f>'11.F&amp;V Crop Production details'!A120</f>
        <v>0</v>
      </c>
      <c r="B51" s="266"/>
      <c r="C51" s="283">
        <f>'11.F&amp;V Crop Production details'!B120</f>
        <v>0</v>
      </c>
      <c r="D51" s="283">
        <f>'11.F&amp;V Crop Production details'!C120</f>
        <v>0</v>
      </c>
      <c r="E51" s="283">
        <f>'11.F&amp;V Crop Production details'!D120</f>
        <v>0</v>
      </c>
      <c r="F51" s="283">
        <f>'11.F&amp;V Crop Production details'!E120</f>
        <v>0</v>
      </c>
      <c r="G51" s="283">
        <f>'11.F&amp;V Crop Production details'!F120</f>
        <v>0</v>
      </c>
      <c r="H51" s="283">
        <f>'11.F&amp;V Crop Production details'!G120</f>
        <v>0</v>
      </c>
      <c r="I51" s="283">
        <f>'11.F&amp;V Crop Production details'!H120</f>
        <v>0</v>
      </c>
    </row>
    <row r="52" spans="1:9" ht="15.75" customHeight="1" x14ac:dyDescent="0.25">
      <c r="A52" s="74">
        <f>'11.F&amp;V Crop Production details'!A121</f>
        <v>0</v>
      </c>
      <c r="B52" s="266"/>
      <c r="C52" s="283">
        <f>'11.F&amp;V Crop Production details'!B121</f>
        <v>0</v>
      </c>
      <c r="D52" s="283">
        <f>'11.F&amp;V Crop Production details'!C121</f>
        <v>0</v>
      </c>
      <c r="E52" s="283">
        <f>'11.F&amp;V Crop Production details'!D121</f>
        <v>0</v>
      </c>
      <c r="F52" s="283">
        <f>'11.F&amp;V Crop Production details'!E121</f>
        <v>0</v>
      </c>
      <c r="G52" s="283">
        <f>'11.F&amp;V Crop Production details'!F121</f>
        <v>0</v>
      </c>
      <c r="H52" s="283">
        <f>'11.F&amp;V Crop Production details'!G121</f>
        <v>0</v>
      </c>
      <c r="I52" s="283">
        <f>'11.F&amp;V Crop Production details'!H121</f>
        <v>0</v>
      </c>
    </row>
    <row r="53" spans="1:9" ht="15.75" customHeight="1" x14ac:dyDescent="0.25">
      <c r="A53" s="74">
        <f>'11.F&amp;V Crop Production details'!A122</f>
        <v>0</v>
      </c>
      <c r="B53" s="266"/>
      <c r="C53" s="283">
        <f>'11.F&amp;V Crop Production details'!B122</f>
        <v>0</v>
      </c>
      <c r="D53" s="283">
        <f>'11.F&amp;V Crop Production details'!C122</f>
        <v>0</v>
      </c>
      <c r="E53" s="283">
        <f>'11.F&amp;V Crop Production details'!D122</f>
        <v>0</v>
      </c>
      <c r="F53" s="283">
        <f>'11.F&amp;V Crop Production details'!E122</f>
        <v>0</v>
      </c>
      <c r="G53" s="283">
        <f>'11.F&amp;V Crop Production details'!F122</f>
        <v>0</v>
      </c>
      <c r="H53" s="283">
        <f>'11.F&amp;V Crop Production details'!G122</f>
        <v>0</v>
      </c>
      <c r="I53" s="283">
        <f>'11.F&amp;V Crop Production details'!H122</f>
        <v>0</v>
      </c>
    </row>
    <row r="54" spans="1:9" ht="15.75" customHeight="1" x14ac:dyDescent="0.25">
      <c r="A54" s="74" t="str">
        <f>'11.F&amp;V Crop Production details'!A123</f>
        <v>Pomegranate</v>
      </c>
      <c r="B54" s="266"/>
      <c r="C54" s="283">
        <f>'11.F&amp;V Crop Production details'!B123</f>
        <v>0</v>
      </c>
      <c r="D54" s="283">
        <f>'11.F&amp;V Crop Production details'!C123</f>
        <v>0</v>
      </c>
      <c r="E54" s="283">
        <f>'11.F&amp;V Crop Production details'!D123</f>
        <v>0</v>
      </c>
      <c r="F54" s="283">
        <f>'11.F&amp;V Crop Production details'!E123</f>
        <v>0</v>
      </c>
      <c r="G54" s="283">
        <f>'11.F&amp;V Crop Production details'!F123</f>
        <v>0</v>
      </c>
      <c r="H54" s="283">
        <f>'11.F&amp;V Crop Production details'!G123</f>
        <v>0</v>
      </c>
      <c r="I54" s="283">
        <f>'11.F&amp;V Crop Production details'!H123</f>
        <v>0</v>
      </c>
    </row>
    <row r="55" spans="1:9" ht="15.75" customHeight="1" x14ac:dyDescent="0.25">
      <c r="A55" s="74" t="str">
        <f>'11.F&amp;V Crop Production details'!A124</f>
        <v>Custard Apple</v>
      </c>
      <c r="B55" s="266"/>
      <c r="C55" s="283">
        <f>'11.F&amp;V Crop Production details'!B124</f>
        <v>0</v>
      </c>
      <c r="D55" s="283">
        <f>'11.F&amp;V Crop Production details'!C124</f>
        <v>0</v>
      </c>
      <c r="E55" s="283">
        <f>'11.F&amp;V Crop Production details'!D124</f>
        <v>0</v>
      </c>
      <c r="F55" s="283">
        <f>'11.F&amp;V Crop Production details'!E124</f>
        <v>0</v>
      </c>
      <c r="G55" s="283">
        <f>'11.F&amp;V Crop Production details'!F124</f>
        <v>0</v>
      </c>
      <c r="H55" s="283">
        <f>'11.F&amp;V Crop Production details'!G124</f>
        <v>0</v>
      </c>
      <c r="I55" s="283">
        <f>'11.F&amp;V Crop Production details'!H124</f>
        <v>0</v>
      </c>
    </row>
    <row r="56" spans="1:9" ht="15.75" customHeight="1" x14ac:dyDescent="0.25">
      <c r="A56" s="74" t="str">
        <f>'11.F&amp;V Crop Production details'!A125</f>
        <v>Guava</v>
      </c>
      <c r="B56" s="266"/>
      <c r="C56" s="283">
        <f>'11.F&amp;V Crop Production details'!B125</f>
        <v>0</v>
      </c>
      <c r="D56" s="283">
        <f>'11.F&amp;V Crop Production details'!C125</f>
        <v>0</v>
      </c>
      <c r="E56" s="283">
        <f>'11.F&amp;V Crop Production details'!D125</f>
        <v>0</v>
      </c>
      <c r="F56" s="283">
        <f>'11.F&amp;V Crop Production details'!E125</f>
        <v>0</v>
      </c>
      <c r="G56" s="283">
        <f>'11.F&amp;V Crop Production details'!F125</f>
        <v>0</v>
      </c>
      <c r="H56" s="283">
        <f>'11.F&amp;V Crop Production details'!G125</f>
        <v>0</v>
      </c>
      <c r="I56" s="283">
        <f>'11.F&amp;V Crop Production details'!H125</f>
        <v>0</v>
      </c>
    </row>
    <row r="57" spans="1:9" ht="15.75" customHeight="1" x14ac:dyDescent="0.25">
      <c r="A57" s="74" t="str">
        <f>'11.F&amp;V Crop Production details'!A126</f>
        <v>Citrus</v>
      </c>
      <c r="B57" s="266"/>
      <c r="C57" s="283">
        <f>'11.F&amp;V Crop Production details'!B126</f>
        <v>0</v>
      </c>
      <c r="D57" s="283">
        <f>'11.F&amp;V Crop Production details'!C126</f>
        <v>0</v>
      </c>
      <c r="E57" s="283">
        <f>'11.F&amp;V Crop Production details'!D126</f>
        <v>0</v>
      </c>
      <c r="F57" s="283">
        <f>'11.F&amp;V Crop Production details'!E126</f>
        <v>0</v>
      </c>
      <c r="G57" s="283">
        <f>'11.F&amp;V Crop Production details'!F126</f>
        <v>0</v>
      </c>
      <c r="H57" s="283">
        <f>'11.F&amp;V Crop Production details'!G126</f>
        <v>0</v>
      </c>
      <c r="I57" s="283">
        <f>'11.F&amp;V Crop Production details'!H126</f>
        <v>0</v>
      </c>
    </row>
    <row r="58" spans="1:9" ht="15.75" customHeight="1" x14ac:dyDescent="0.25">
      <c r="A58" s="74"/>
      <c r="B58" s="266"/>
      <c r="C58" s="266"/>
      <c r="D58" s="266"/>
      <c r="E58" s="266"/>
      <c r="F58" s="266"/>
      <c r="G58" s="266"/>
      <c r="H58" s="266"/>
      <c r="I58" s="266"/>
    </row>
    <row r="59" spans="1:9" ht="15.75" customHeight="1" x14ac:dyDescent="0.25">
      <c r="A59" s="77" t="s">
        <v>668</v>
      </c>
      <c r="B59" s="74"/>
      <c r="C59" s="74"/>
      <c r="D59" s="74"/>
      <c r="E59" s="74"/>
      <c r="F59" s="74"/>
      <c r="G59" s="74"/>
      <c r="H59" s="74"/>
      <c r="I59" s="74"/>
    </row>
    <row r="60" spans="1:9" ht="15.75" customHeight="1" x14ac:dyDescent="0.25">
      <c r="A60" s="77" t="s">
        <v>669</v>
      </c>
      <c r="B60" s="74"/>
      <c r="C60" s="74"/>
      <c r="D60" s="74"/>
      <c r="E60" s="74"/>
      <c r="F60" s="74"/>
      <c r="G60" s="74"/>
      <c r="H60" s="74"/>
      <c r="I60" s="74"/>
    </row>
    <row r="61" spans="1:9" ht="15.75" customHeight="1" x14ac:dyDescent="0.25">
      <c r="A61" s="77" t="str">
        <f t="shared" ref="A61:A110" si="0">A8</f>
        <v>Kharif Crops</v>
      </c>
      <c r="B61" s="74"/>
      <c r="C61" s="74"/>
      <c r="D61" s="74"/>
      <c r="E61" s="74"/>
      <c r="F61" s="74"/>
      <c r="G61" s="74"/>
      <c r="H61" s="74"/>
      <c r="I61" s="74"/>
    </row>
    <row r="62" spans="1:9" ht="15.75" customHeight="1" x14ac:dyDescent="0.25">
      <c r="A62" s="74" t="str">
        <f t="shared" si="0"/>
        <v>Turmeric</v>
      </c>
      <c r="B62" s="50">
        <v>40</v>
      </c>
      <c r="C62" s="266">
        <f t="shared" ref="C62:I62" si="1">$B62*C9</f>
        <v>0</v>
      </c>
      <c r="D62" s="266">
        <f t="shared" si="1"/>
        <v>0</v>
      </c>
      <c r="E62" s="266">
        <f t="shared" si="1"/>
        <v>0</v>
      </c>
      <c r="F62" s="266">
        <f t="shared" si="1"/>
        <v>0</v>
      </c>
      <c r="G62" s="266">
        <f t="shared" si="1"/>
        <v>0</v>
      </c>
      <c r="H62" s="266">
        <f t="shared" si="1"/>
        <v>0</v>
      </c>
      <c r="I62" s="266">
        <f t="shared" si="1"/>
        <v>0</v>
      </c>
    </row>
    <row r="63" spans="1:9" ht="15.75" customHeight="1" x14ac:dyDescent="0.25">
      <c r="A63" s="74" t="str">
        <f t="shared" si="0"/>
        <v>Red Gram/Tur</v>
      </c>
      <c r="B63" s="50">
        <v>5</v>
      </c>
      <c r="C63" s="266">
        <f t="shared" ref="C63:C69" si="2">$B63*C10</f>
        <v>0</v>
      </c>
      <c r="D63" s="266">
        <f t="shared" ref="D63:I63" si="3">$B$63*D10</f>
        <v>0</v>
      </c>
      <c r="E63" s="266">
        <f t="shared" si="3"/>
        <v>0</v>
      </c>
      <c r="F63" s="266">
        <f t="shared" si="3"/>
        <v>0</v>
      </c>
      <c r="G63" s="266">
        <f t="shared" si="3"/>
        <v>0</v>
      </c>
      <c r="H63" s="266">
        <f t="shared" si="3"/>
        <v>0</v>
      </c>
      <c r="I63" s="266">
        <f t="shared" si="3"/>
        <v>0</v>
      </c>
    </row>
    <row r="64" spans="1:9" ht="15.75" customHeight="1" x14ac:dyDescent="0.25">
      <c r="A64" s="74" t="str">
        <f t="shared" si="0"/>
        <v>Paddy/Rice</v>
      </c>
      <c r="B64" s="50">
        <v>15</v>
      </c>
      <c r="C64" s="266">
        <f t="shared" si="2"/>
        <v>0</v>
      </c>
      <c r="D64" s="266">
        <f t="shared" ref="D64:I64" si="4">$B$64*D11</f>
        <v>0</v>
      </c>
      <c r="E64" s="266">
        <f t="shared" si="4"/>
        <v>0</v>
      </c>
      <c r="F64" s="266">
        <f t="shared" si="4"/>
        <v>0</v>
      </c>
      <c r="G64" s="266">
        <f t="shared" si="4"/>
        <v>0</v>
      </c>
      <c r="H64" s="266">
        <f t="shared" si="4"/>
        <v>0</v>
      </c>
      <c r="I64" s="266">
        <f t="shared" si="4"/>
        <v>0</v>
      </c>
    </row>
    <row r="65" spans="1:9" ht="15.75" customHeight="1" x14ac:dyDescent="0.25">
      <c r="A65" s="74" t="str">
        <f t="shared" si="0"/>
        <v>Green Gram/ Moong</v>
      </c>
      <c r="B65" s="50">
        <v>15</v>
      </c>
      <c r="C65" s="266">
        <f t="shared" si="2"/>
        <v>0</v>
      </c>
      <c r="D65" s="266">
        <f t="shared" ref="D65:I65" si="5">$B65*D12</f>
        <v>0</v>
      </c>
      <c r="E65" s="266">
        <f t="shared" si="5"/>
        <v>0</v>
      </c>
      <c r="F65" s="266">
        <f t="shared" si="5"/>
        <v>0</v>
      </c>
      <c r="G65" s="266">
        <f t="shared" si="5"/>
        <v>0</v>
      </c>
      <c r="H65" s="266">
        <f t="shared" si="5"/>
        <v>0</v>
      </c>
      <c r="I65" s="266">
        <f t="shared" si="5"/>
        <v>0</v>
      </c>
    </row>
    <row r="66" spans="1:9" ht="15.75" customHeight="1" x14ac:dyDescent="0.25">
      <c r="A66" s="74" t="str">
        <f t="shared" si="0"/>
        <v>Maize</v>
      </c>
      <c r="B66" s="50">
        <v>25</v>
      </c>
      <c r="C66" s="266">
        <f t="shared" si="2"/>
        <v>0</v>
      </c>
      <c r="D66" s="266">
        <f t="shared" ref="D66:I66" si="6">$B66*D13</f>
        <v>0</v>
      </c>
      <c r="E66" s="266">
        <f t="shared" si="6"/>
        <v>0</v>
      </c>
      <c r="F66" s="266">
        <f t="shared" si="6"/>
        <v>0</v>
      </c>
      <c r="G66" s="266">
        <f t="shared" si="6"/>
        <v>0</v>
      </c>
      <c r="H66" s="266">
        <f t="shared" si="6"/>
        <v>0</v>
      </c>
      <c r="I66" s="266">
        <f t="shared" si="6"/>
        <v>0</v>
      </c>
    </row>
    <row r="67" spans="1:9" ht="15.75" customHeight="1" x14ac:dyDescent="0.25">
      <c r="A67" s="74" t="str">
        <f t="shared" si="0"/>
        <v>Black Gram/Udid</v>
      </c>
      <c r="B67" s="50">
        <v>15</v>
      </c>
      <c r="C67" s="266">
        <f t="shared" si="2"/>
        <v>0</v>
      </c>
      <c r="D67" s="266">
        <f t="shared" ref="D67:I67" si="7">$B67*D14</f>
        <v>0</v>
      </c>
      <c r="E67" s="266">
        <f t="shared" si="7"/>
        <v>0</v>
      </c>
      <c r="F67" s="266">
        <f t="shared" si="7"/>
        <v>0</v>
      </c>
      <c r="G67" s="266">
        <f t="shared" si="7"/>
        <v>0</v>
      </c>
      <c r="H67" s="266">
        <f t="shared" si="7"/>
        <v>0</v>
      </c>
      <c r="I67" s="266">
        <f t="shared" si="7"/>
        <v>0</v>
      </c>
    </row>
    <row r="68" spans="1:9" ht="15.75" customHeight="1" x14ac:dyDescent="0.25">
      <c r="A68" s="74" t="str">
        <f t="shared" si="0"/>
        <v>Bajra</v>
      </c>
      <c r="B68" s="50">
        <v>5</v>
      </c>
      <c r="C68" s="266">
        <f t="shared" si="2"/>
        <v>0</v>
      </c>
      <c r="D68" s="266">
        <f t="shared" ref="D68:I68" si="8">$B68*D15</f>
        <v>0</v>
      </c>
      <c r="E68" s="266">
        <f t="shared" si="8"/>
        <v>0</v>
      </c>
      <c r="F68" s="266">
        <f t="shared" si="8"/>
        <v>0</v>
      </c>
      <c r="G68" s="266">
        <f t="shared" si="8"/>
        <v>0</v>
      </c>
      <c r="H68" s="266">
        <f t="shared" si="8"/>
        <v>0</v>
      </c>
      <c r="I68" s="266">
        <f t="shared" si="8"/>
        <v>0</v>
      </c>
    </row>
    <row r="69" spans="1:9" ht="15.75" customHeight="1" x14ac:dyDescent="0.25">
      <c r="A69" s="74" t="str">
        <f t="shared" si="0"/>
        <v>Jawar</v>
      </c>
      <c r="B69" s="50">
        <v>5</v>
      </c>
      <c r="C69" s="266">
        <f t="shared" si="2"/>
        <v>0</v>
      </c>
      <c r="D69" s="266">
        <f t="shared" ref="D69:I69" si="9">$B69*D16</f>
        <v>0</v>
      </c>
      <c r="E69" s="266">
        <f t="shared" si="9"/>
        <v>0</v>
      </c>
      <c r="F69" s="266">
        <f t="shared" si="9"/>
        <v>0</v>
      </c>
      <c r="G69" s="266">
        <f t="shared" si="9"/>
        <v>0</v>
      </c>
      <c r="H69" s="266">
        <f t="shared" si="9"/>
        <v>0</v>
      </c>
      <c r="I69" s="266">
        <f t="shared" si="9"/>
        <v>0</v>
      </c>
    </row>
    <row r="70" spans="1:9" ht="15.75" customHeight="1" x14ac:dyDescent="0.25">
      <c r="A70" s="77" t="str">
        <f t="shared" si="0"/>
        <v>Rabi Crop</v>
      </c>
      <c r="B70" s="50"/>
      <c r="C70" s="266"/>
      <c r="D70" s="266"/>
      <c r="E70" s="266"/>
      <c r="F70" s="266"/>
      <c r="G70" s="266"/>
      <c r="H70" s="266"/>
      <c r="I70" s="266"/>
    </row>
    <row r="71" spans="1:9" ht="15.75" customHeight="1" x14ac:dyDescent="0.25">
      <c r="A71" s="74" t="str">
        <f t="shared" si="0"/>
        <v>Wheat</v>
      </c>
      <c r="B71" s="50">
        <v>20</v>
      </c>
      <c r="C71" s="266">
        <f t="shared" ref="C71:I71" si="10">$B71*C18</f>
        <v>0</v>
      </c>
      <c r="D71" s="266">
        <f t="shared" si="10"/>
        <v>0</v>
      </c>
      <c r="E71" s="266">
        <f t="shared" si="10"/>
        <v>0</v>
      </c>
      <c r="F71" s="266">
        <f t="shared" si="10"/>
        <v>0</v>
      </c>
      <c r="G71" s="266">
        <f t="shared" si="10"/>
        <v>0</v>
      </c>
      <c r="H71" s="266">
        <f t="shared" si="10"/>
        <v>0</v>
      </c>
      <c r="I71" s="266">
        <f t="shared" si="10"/>
        <v>0</v>
      </c>
    </row>
    <row r="72" spans="1:9" ht="15.75" customHeight="1" x14ac:dyDescent="0.25">
      <c r="A72" s="74" t="str">
        <f t="shared" si="0"/>
        <v>Bengal Gram/Channa</v>
      </c>
      <c r="B72" s="50">
        <v>25</v>
      </c>
      <c r="C72" s="266">
        <f t="shared" ref="C72:I72" si="11">$B72*C19</f>
        <v>0</v>
      </c>
      <c r="D72" s="266">
        <f t="shared" si="11"/>
        <v>0</v>
      </c>
      <c r="E72" s="266">
        <f t="shared" si="11"/>
        <v>0</v>
      </c>
      <c r="F72" s="266">
        <f t="shared" si="11"/>
        <v>0</v>
      </c>
      <c r="G72" s="266">
        <f t="shared" si="11"/>
        <v>0</v>
      </c>
      <c r="H72" s="266">
        <f t="shared" si="11"/>
        <v>0</v>
      </c>
      <c r="I72" s="266">
        <f t="shared" si="11"/>
        <v>0</v>
      </c>
    </row>
    <row r="73" spans="1:9" ht="15.75" customHeight="1" x14ac:dyDescent="0.25">
      <c r="A73" s="74" t="str">
        <f t="shared" si="0"/>
        <v>Jawar</v>
      </c>
      <c r="B73" s="50">
        <v>5</v>
      </c>
      <c r="C73" s="266">
        <f t="shared" ref="C73:I73" si="12">$B73*C20</f>
        <v>0</v>
      </c>
      <c r="D73" s="266">
        <f t="shared" si="12"/>
        <v>0</v>
      </c>
      <c r="E73" s="266">
        <f t="shared" si="12"/>
        <v>0</v>
      </c>
      <c r="F73" s="266">
        <f t="shared" si="12"/>
        <v>0</v>
      </c>
      <c r="G73" s="266">
        <f t="shared" si="12"/>
        <v>0</v>
      </c>
      <c r="H73" s="266">
        <f t="shared" si="12"/>
        <v>0</v>
      </c>
      <c r="I73" s="266">
        <f t="shared" si="12"/>
        <v>0</v>
      </c>
    </row>
    <row r="74" spans="1:9" ht="15.75" customHeight="1" x14ac:dyDescent="0.25">
      <c r="A74" s="74" t="str">
        <f t="shared" si="0"/>
        <v>Maize</v>
      </c>
      <c r="B74" s="50">
        <v>20</v>
      </c>
      <c r="C74" s="266">
        <f t="shared" ref="C74:I74" si="13">$B74*C21</f>
        <v>0</v>
      </c>
      <c r="D74" s="266">
        <f t="shared" si="13"/>
        <v>0</v>
      </c>
      <c r="E74" s="266">
        <f t="shared" si="13"/>
        <v>0</v>
      </c>
      <c r="F74" s="266">
        <f t="shared" si="13"/>
        <v>0</v>
      </c>
      <c r="G74" s="266">
        <f t="shared" si="13"/>
        <v>0</v>
      </c>
      <c r="H74" s="266">
        <f t="shared" si="13"/>
        <v>0</v>
      </c>
      <c r="I74" s="266">
        <f t="shared" si="13"/>
        <v>0</v>
      </c>
    </row>
    <row r="75" spans="1:9" ht="15.75" customHeight="1" x14ac:dyDescent="0.25">
      <c r="A75" s="74" t="str">
        <f t="shared" si="0"/>
        <v>Safflower</v>
      </c>
      <c r="B75" s="50"/>
      <c r="C75" s="266">
        <f t="shared" ref="C75:I75" si="14">$B75*C22</f>
        <v>0</v>
      </c>
      <c r="D75" s="266">
        <f t="shared" si="14"/>
        <v>0</v>
      </c>
      <c r="E75" s="266">
        <f t="shared" si="14"/>
        <v>0</v>
      </c>
      <c r="F75" s="266">
        <f t="shared" si="14"/>
        <v>0</v>
      </c>
      <c r="G75" s="266">
        <f t="shared" si="14"/>
        <v>0</v>
      </c>
      <c r="H75" s="266">
        <f t="shared" si="14"/>
        <v>0</v>
      </c>
      <c r="I75" s="266">
        <f t="shared" si="14"/>
        <v>0</v>
      </c>
    </row>
    <row r="76" spans="1:9" ht="15.75" customHeight="1" x14ac:dyDescent="0.25">
      <c r="A76" s="74">
        <f t="shared" si="0"/>
        <v>0</v>
      </c>
      <c r="B76" s="50"/>
      <c r="C76" s="266">
        <f t="shared" ref="C76:I76" si="15">$B76*C23</f>
        <v>0</v>
      </c>
      <c r="D76" s="266">
        <f t="shared" si="15"/>
        <v>0</v>
      </c>
      <c r="E76" s="266">
        <f t="shared" si="15"/>
        <v>0</v>
      </c>
      <c r="F76" s="266">
        <f t="shared" si="15"/>
        <v>0</v>
      </c>
      <c r="G76" s="266">
        <f t="shared" si="15"/>
        <v>0</v>
      </c>
      <c r="H76" s="266">
        <f t="shared" si="15"/>
        <v>0</v>
      </c>
      <c r="I76" s="266">
        <f t="shared" si="15"/>
        <v>0</v>
      </c>
    </row>
    <row r="77" spans="1:9" ht="15.75" customHeight="1" x14ac:dyDescent="0.25">
      <c r="A77" s="74">
        <f t="shared" si="0"/>
        <v>0</v>
      </c>
      <c r="B77" s="50"/>
      <c r="C77" s="266">
        <f t="shared" ref="C77:I77" si="16">$B77*C24</f>
        <v>0</v>
      </c>
      <c r="D77" s="266">
        <f t="shared" si="16"/>
        <v>0</v>
      </c>
      <c r="E77" s="266">
        <f t="shared" si="16"/>
        <v>0</v>
      </c>
      <c r="F77" s="266">
        <f t="shared" si="16"/>
        <v>0</v>
      </c>
      <c r="G77" s="266">
        <f t="shared" si="16"/>
        <v>0</v>
      </c>
      <c r="H77" s="266">
        <f t="shared" si="16"/>
        <v>0</v>
      </c>
      <c r="I77" s="266">
        <f t="shared" si="16"/>
        <v>0</v>
      </c>
    </row>
    <row r="78" spans="1:9" ht="15.75" customHeight="1" x14ac:dyDescent="0.25">
      <c r="A78" s="74">
        <f t="shared" si="0"/>
        <v>0</v>
      </c>
      <c r="B78" s="50"/>
      <c r="C78" s="266">
        <f t="shared" ref="C78:I78" si="17">$B78*C25</f>
        <v>0</v>
      </c>
      <c r="D78" s="266">
        <f t="shared" si="17"/>
        <v>0</v>
      </c>
      <c r="E78" s="266">
        <f t="shared" si="17"/>
        <v>0</v>
      </c>
      <c r="F78" s="266">
        <f t="shared" si="17"/>
        <v>0</v>
      </c>
      <c r="G78" s="266">
        <f t="shared" si="17"/>
        <v>0</v>
      </c>
      <c r="H78" s="266">
        <f t="shared" si="17"/>
        <v>0</v>
      </c>
      <c r="I78" s="266">
        <f t="shared" si="17"/>
        <v>0</v>
      </c>
    </row>
    <row r="79" spans="1:9" ht="15.75" customHeight="1" x14ac:dyDescent="0.25">
      <c r="A79" s="77" t="str">
        <f t="shared" si="0"/>
        <v>Summer</v>
      </c>
      <c r="B79" s="50"/>
      <c r="C79" s="266"/>
      <c r="D79" s="266"/>
      <c r="E79" s="266"/>
      <c r="F79" s="266"/>
      <c r="G79" s="266"/>
      <c r="H79" s="266"/>
      <c r="I79" s="266"/>
    </row>
    <row r="80" spans="1:9" ht="15.75" customHeight="1" x14ac:dyDescent="0.25">
      <c r="A80" s="74" t="str">
        <f t="shared" si="0"/>
        <v>Turmeric</v>
      </c>
      <c r="B80" s="50">
        <v>10</v>
      </c>
      <c r="C80" s="266">
        <f t="shared" ref="C80:I80" si="18">$B80*C27</f>
        <v>490</v>
      </c>
      <c r="D80" s="266">
        <f t="shared" si="18"/>
        <v>612.5</v>
      </c>
      <c r="E80" s="266">
        <f t="shared" si="18"/>
        <v>735</v>
      </c>
      <c r="F80" s="266">
        <f t="shared" si="18"/>
        <v>857.5</v>
      </c>
      <c r="G80" s="266">
        <f t="shared" si="18"/>
        <v>980</v>
      </c>
      <c r="H80" s="266">
        <f t="shared" si="18"/>
        <v>1102.5</v>
      </c>
      <c r="I80" s="266">
        <f t="shared" si="18"/>
        <v>1225</v>
      </c>
    </row>
    <row r="81" spans="1:9" ht="15.75" customHeight="1" x14ac:dyDescent="0.25">
      <c r="A81" s="74">
        <f t="shared" si="0"/>
        <v>0</v>
      </c>
      <c r="B81" s="50"/>
      <c r="C81" s="266">
        <f t="shared" ref="C81:I81" si="19">$B81*C28</f>
        <v>0</v>
      </c>
      <c r="D81" s="266">
        <f t="shared" si="19"/>
        <v>0</v>
      </c>
      <c r="E81" s="266">
        <f t="shared" si="19"/>
        <v>0</v>
      </c>
      <c r="F81" s="266">
        <f t="shared" si="19"/>
        <v>0</v>
      </c>
      <c r="G81" s="266">
        <f t="shared" si="19"/>
        <v>0</v>
      </c>
      <c r="H81" s="266">
        <f t="shared" si="19"/>
        <v>0</v>
      </c>
      <c r="I81" s="266">
        <f t="shared" si="19"/>
        <v>0</v>
      </c>
    </row>
    <row r="82" spans="1:9" ht="15.75" customHeight="1" x14ac:dyDescent="0.25">
      <c r="A82" s="74">
        <f t="shared" si="0"/>
        <v>0</v>
      </c>
      <c r="B82" s="50"/>
      <c r="C82" s="266">
        <f t="shared" ref="C82:I82" si="20">$B82*C29</f>
        <v>0</v>
      </c>
      <c r="D82" s="266">
        <f t="shared" si="20"/>
        <v>0</v>
      </c>
      <c r="E82" s="266">
        <f t="shared" si="20"/>
        <v>0</v>
      </c>
      <c r="F82" s="266">
        <f t="shared" si="20"/>
        <v>0</v>
      </c>
      <c r="G82" s="266">
        <f t="shared" si="20"/>
        <v>0</v>
      </c>
      <c r="H82" s="266">
        <f t="shared" si="20"/>
        <v>0</v>
      </c>
      <c r="I82" s="266">
        <f t="shared" si="20"/>
        <v>0</v>
      </c>
    </row>
    <row r="83" spans="1:9" ht="15.75" customHeight="1" x14ac:dyDescent="0.25">
      <c r="A83" s="74">
        <f t="shared" si="0"/>
        <v>0</v>
      </c>
      <c r="B83" s="50"/>
      <c r="C83" s="266">
        <f t="shared" ref="C83:I83" si="21">$B83*C30</f>
        <v>0</v>
      </c>
      <c r="D83" s="266">
        <f t="shared" si="21"/>
        <v>0</v>
      </c>
      <c r="E83" s="266">
        <f t="shared" si="21"/>
        <v>0</v>
      </c>
      <c r="F83" s="266">
        <f t="shared" si="21"/>
        <v>0</v>
      </c>
      <c r="G83" s="266">
        <f t="shared" si="21"/>
        <v>0</v>
      </c>
      <c r="H83" s="266">
        <f t="shared" si="21"/>
        <v>0</v>
      </c>
      <c r="I83" s="266">
        <f t="shared" si="21"/>
        <v>0</v>
      </c>
    </row>
    <row r="84" spans="1:9" ht="15.75" customHeight="1" x14ac:dyDescent="0.25">
      <c r="A84" s="74">
        <f t="shared" si="0"/>
        <v>0</v>
      </c>
      <c r="B84" s="50"/>
      <c r="C84" s="266">
        <f t="shared" ref="C84:I84" si="22">$B84*C31</f>
        <v>0</v>
      </c>
      <c r="D84" s="266">
        <f t="shared" si="22"/>
        <v>0</v>
      </c>
      <c r="E84" s="266">
        <f t="shared" si="22"/>
        <v>0</v>
      </c>
      <c r="F84" s="266">
        <f t="shared" si="22"/>
        <v>0</v>
      </c>
      <c r="G84" s="266">
        <f t="shared" si="22"/>
        <v>0</v>
      </c>
      <c r="H84" s="266">
        <f t="shared" si="22"/>
        <v>0</v>
      </c>
      <c r="I84" s="266">
        <f t="shared" si="22"/>
        <v>0</v>
      </c>
    </row>
    <row r="85" spans="1:9" ht="15.75" customHeight="1" x14ac:dyDescent="0.25">
      <c r="A85" s="77" t="str">
        <f t="shared" si="0"/>
        <v>Fruit  &amp; Vegetables Crop Production Details</v>
      </c>
      <c r="B85" s="50"/>
      <c r="C85" s="266"/>
      <c r="D85" s="266"/>
      <c r="E85" s="266"/>
      <c r="F85" s="266"/>
      <c r="G85" s="266"/>
      <c r="H85" s="266"/>
      <c r="I85" s="266"/>
    </row>
    <row r="86" spans="1:9" ht="15.75" customHeight="1" x14ac:dyDescent="0.25">
      <c r="A86" s="74" t="str">
        <f t="shared" si="0"/>
        <v>Onion</v>
      </c>
      <c r="B86" s="50"/>
      <c r="C86" s="266">
        <f t="shared" ref="C86:I86" si="23">$B86*C33</f>
        <v>0</v>
      </c>
      <c r="D86" s="266">
        <f t="shared" si="23"/>
        <v>0</v>
      </c>
      <c r="E86" s="266">
        <f t="shared" si="23"/>
        <v>0</v>
      </c>
      <c r="F86" s="266">
        <f t="shared" si="23"/>
        <v>0</v>
      </c>
      <c r="G86" s="266">
        <f t="shared" si="23"/>
        <v>0</v>
      </c>
      <c r="H86" s="266">
        <f t="shared" si="23"/>
        <v>0</v>
      </c>
      <c r="I86" s="266">
        <f t="shared" si="23"/>
        <v>0</v>
      </c>
    </row>
    <row r="87" spans="1:9" ht="15.75" customHeight="1" x14ac:dyDescent="0.25">
      <c r="A87" s="74" t="str">
        <f t="shared" si="0"/>
        <v>Tomato</v>
      </c>
      <c r="B87" s="50"/>
      <c r="C87" s="266">
        <f t="shared" ref="C87:I87" si="24">$B87*C34</f>
        <v>0</v>
      </c>
      <c r="D87" s="266">
        <f t="shared" si="24"/>
        <v>0</v>
      </c>
      <c r="E87" s="266">
        <f t="shared" si="24"/>
        <v>0</v>
      </c>
      <c r="F87" s="266">
        <f t="shared" si="24"/>
        <v>0</v>
      </c>
      <c r="G87" s="266">
        <f t="shared" si="24"/>
        <v>0</v>
      </c>
      <c r="H87" s="266">
        <f t="shared" si="24"/>
        <v>0</v>
      </c>
      <c r="I87" s="266">
        <f t="shared" si="24"/>
        <v>0</v>
      </c>
    </row>
    <row r="88" spans="1:9" ht="15.75" customHeight="1" x14ac:dyDescent="0.25">
      <c r="A88" s="74" t="str">
        <f t="shared" si="0"/>
        <v>Okra</v>
      </c>
      <c r="B88" s="50"/>
      <c r="C88" s="266">
        <f t="shared" ref="C88:I88" si="25">$B88*C35</f>
        <v>0</v>
      </c>
      <c r="D88" s="266">
        <f t="shared" si="25"/>
        <v>0</v>
      </c>
      <c r="E88" s="266">
        <f t="shared" si="25"/>
        <v>0</v>
      </c>
      <c r="F88" s="266">
        <f t="shared" si="25"/>
        <v>0</v>
      </c>
      <c r="G88" s="266">
        <f t="shared" si="25"/>
        <v>0</v>
      </c>
      <c r="H88" s="266">
        <f t="shared" si="25"/>
        <v>0</v>
      </c>
      <c r="I88" s="266">
        <f t="shared" si="25"/>
        <v>0</v>
      </c>
    </row>
    <row r="89" spans="1:9" ht="15.75" customHeight="1" x14ac:dyDescent="0.25">
      <c r="A89" s="74" t="str">
        <f t="shared" si="0"/>
        <v>Chilli</v>
      </c>
      <c r="B89" s="50"/>
      <c r="C89" s="266">
        <f t="shared" ref="C89:I89" si="26">$B89*C36</f>
        <v>0</v>
      </c>
      <c r="D89" s="266">
        <f t="shared" si="26"/>
        <v>0</v>
      </c>
      <c r="E89" s="266">
        <f t="shared" si="26"/>
        <v>0</v>
      </c>
      <c r="F89" s="266">
        <f t="shared" si="26"/>
        <v>0</v>
      </c>
      <c r="G89" s="266">
        <f t="shared" si="26"/>
        <v>0</v>
      </c>
      <c r="H89" s="266">
        <f t="shared" si="26"/>
        <v>0</v>
      </c>
      <c r="I89" s="266">
        <f t="shared" si="26"/>
        <v>0</v>
      </c>
    </row>
    <row r="90" spans="1:9" ht="15.75" customHeight="1" x14ac:dyDescent="0.25">
      <c r="A90" s="74" t="str">
        <f t="shared" si="0"/>
        <v>Potato</v>
      </c>
      <c r="B90" s="50"/>
      <c r="C90" s="266">
        <f t="shared" ref="C90:I90" si="27">$B90*C37</f>
        <v>0</v>
      </c>
      <c r="D90" s="266">
        <f t="shared" si="27"/>
        <v>0</v>
      </c>
      <c r="E90" s="266">
        <f t="shared" si="27"/>
        <v>0</v>
      </c>
      <c r="F90" s="266">
        <f t="shared" si="27"/>
        <v>0</v>
      </c>
      <c r="G90" s="266">
        <f t="shared" si="27"/>
        <v>0</v>
      </c>
      <c r="H90" s="266">
        <f t="shared" si="27"/>
        <v>0</v>
      </c>
      <c r="I90" s="266">
        <f t="shared" si="27"/>
        <v>0</v>
      </c>
    </row>
    <row r="91" spans="1:9" ht="15.75" customHeight="1" x14ac:dyDescent="0.25">
      <c r="A91" s="74">
        <f t="shared" si="0"/>
        <v>0</v>
      </c>
      <c r="B91" s="50"/>
      <c r="C91" s="266">
        <f t="shared" ref="C91:I91" si="28">$B91*C38</f>
        <v>0</v>
      </c>
      <c r="D91" s="266">
        <f t="shared" si="28"/>
        <v>0</v>
      </c>
      <c r="E91" s="266">
        <f t="shared" si="28"/>
        <v>0</v>
      </c>
      <c r="F91" s="266">
        <f t="shared" si="28"/>
        <v>0</v>
      </c>
      <c r="G91" s="266">
        <f t="shared" si="28"/>
        <v>0</v>
      </c>
      <c r="H91" s="266">
        <f t="shared" si="28"/>
        <v>0</v>
      </c>
      <c r="I91" s="266">
        <f t="shared" si="28"/>
        <v>0</v>
      </c>
    </row>
    <row r="92" spans="1:9" ht="15.75" customHeight="1" x14ac:dyDescent="0.25">
      <c r="A92" s="74">
        <f t="shared" si="0"/>
        <v>0</v>
      </c>
      <c r="B92" s="50"/>
      <c r="C92" s="266">
        <f t="shared" ref="C92:I92" si="29">$B92*C39</f>
        <v>0</v>
      </c>
      <c r="D92" s="266">
        <f t="shared" si="29"/>
        <v>0</v>
      </c>
      <c r="E92" s="266">
        <f t="shared" si="29"/>
        <v>0</v>
      </c>
      <c r="F92" s="266">
        <f t="shared" si="29"/>
        <v>0</v>
      </c>
      <c r="G92" s="266">
        <f t="shared" si="29"/>
        <v>0</v>
      </c>
      <c r="H92" s="266">
        <f t="shared" si="29"/>
        <v>0</v>
      </c>
      <c r="I92" s="266">
        <f t="shared" si="29"/>
        <v>0</v>
      </c>
    </row>
    <row r="93" spans="1:9" ht="15.75" customHeight="1" x14ac:dyDescent="0.25">
      <c r="A93" s="74">
        <f t="shared" si="0"/>
        <v>0</v>
      </c>
      <c r="B93" s="50"/>
      <c r="C93" s="266">
        <f t="shared" ref="C93:I93" si="30">$B93*C40</f>
        <v>0</v>
      </c>
      <c r="D93" s="266">
        <f t="shared" si="30"/>
        <v>0</v>
      </c>
      <c r="E93" s="266">
        <f t="shared" si="30"/>
        <v>0</v>
      </c>
      <c r="F93" s="266">
        <f t="shared" si="30"/>
        <v>0</v>
      </c>
      <c r="G93" s="266">
        <f t="shared" si="30"/>
        <v>0</v>
      </c>
      <c r="H93" s="266">
        <f t="shared" si="30"/>
        <v>0</v>
      </c>
      <c r="I93" s="266">
        <f t="shared" si="30"/>
        <v>0</v>
      </c>
    </row>
    <row r="94" spans="1:9" ht="15.75" customHeight="1" x14ac:dyDescent="0.25">
      <c r="A94" s="74">
        <f t="shared" si="0"/>
        <v>0</v>
      </c>
      <c r="B94" s="50"/>
      <c r="C94" s="266">
        <f t="shared" ref="C94:I94" si="31">$B94*C41</f>
        <v>0</v>
      </c>
      <c r="D94" s="266">
        <f t="shared" si="31"/>
        <v>0</v>
      </c>
      <c r="E94" s="266">
        <f t="shared" si="31"/>
        <v>0</v>
      </c>
      <c r="F94" s="266">
        <f t="shared" si="31"/>
        <v>0</v>
      </c>
      <c r="G94" s="266">
        <f t="shared" si="31"/>
        <v>0</v>
      </c>
      <c r="H94" s="266">
        <f t="shared" si="31"/>
        <v>0</v>
      </c>
      <c r="I94" s="266">
        <f t="shared" si="31"/>
        <v>0</v>
      </c>
    </row>
    <row r="95" spans="1:9" ht="15.75" customHeight="1" x14ac:dyDescent="0.25">
      <c r="A95" s="74" t="str">
        <f t="shared" si="0"/>
        <v>Onion</v>
      </c>
      <c r="B95" s="50"/>
      <c r="C95" s="266">
        <f t="shared" ref="C95:I95" si="32">$B95*C42</f>
        <v>0</v>
      </c>
      <c r="D95" s="266">
        <f t="shared" si="32"/>
        <v>0</v>
      </c>
      <c r="E95" s="266">
        <f t="shared" si="32"/>
        <v>0</v>
      </c>
      <c r="F95" s="266">
        <f t="shared" si="32"/>
        <v>0</v>
      </c>
      <c r="G95" s="266">
        <f t="shared" si="32"/>
        <v>0</v>
      </c>
      <c r="H95" s="266">
        <f t="shared" si="32"/>
        <v>0</v>
      </c>
      <c r="I95" s="266">
        <f t="shared" si="32"/>
        <v>0</v>
      </c>
    </row>
    <row r="96" spans="1:9" ht="15.75" customHeight="1" x14ac:dyDescent="0.25">
      <c r="A96" s="74" t="str">
        <f t="shared" si="0"/>
        <v>Tomato</v>
      </c>
      <c r="B96" s="50"/>
      <c r="C96" s="266">
        <f t="shared" ref="C96:I96" si="33">$B96*C43</f>
        <v>0</v>
      </c>
      <c r="D96" s="266">
        <f t="shared" si="33"/>
        <v>0</v>
      </c>
      <c r="E96" s="266">
        <f t="shared" si="33"/>
        <v>0</v>
      </c>
      <c r="F96" s="266">
        <f t="shared" si="33"/>
        <v>0</v>
      </c>
      <c r="G96" s="266">
        <f t="shared" si="33"/>
        <v>0</v>
      </c>
      <c r="H96" s="266">
        <f t="shared" si="33"/>
        <v>0</v>
      </c>
      <c r="I96" s="266">
        <f t="shared" si="33"/>
        <v>0</v>
      </c>
    </row>
    <row r="97" spans="1:9" ht="15.75" customHeight="1" x14ac:dyDescent="0.25">
      <c r="A97" s="74" t="str">
        <f t="shared" si="0"/>
        <v>Okra</v>
      </c>
      <c r="B97" s="50"/>
      <c r="C97" s="266">
        <f t="shared" ref="C97:I97" si="34">$B97*C44</f>
        <v>0</v>
      </c>
      <c r="D97" s="266">
        <f t="shared" si="34"/>
        <v>0</v>
      </c>
      <c r="E97" s="266">
        <f t="shared" si="34"/>
        <v>0</v>
      </c>
      <c r="F97" s="266">
        <f t="shared" si="34"/>
        <v>0</v>
      </c>
      <c r="G97" s="266">
        <f t="shared" si="34"/>
        <v>0</v>
      </c>
      <c r="H97" s="266">
        <f t="shared" si="34"/>
        <v>0</v>
      </c>
      <c r="I97" s="266">
        <f t="shared" si="34"/>
        <v>0</v>
      </c>
    </row>
    <row r="98" spans="1:9" ht="15.75" customHeight="1" x14ac:dyDescent="0.25">
      <c r="A98" s="74" t="str">
        <f t="shared" si="0"/>
        <v>Chilli</v>
      </c>
      <c r="B98" s="50"/>
      <c r="C98" s="266">
        <f t="shared" ref="C98:I98" si="35">$B98*C45</f>
        <v>0</v>
      </c>
      <c r="D98" s="266">
        <f t="shared" si="35"/>
        <v>0</v>
      </c>
      <c r="E98" s="266">
        <f t="shared" si="35"/>
        <v>0</v>
      </c>
      <c r="F98" s="266">
        <f t="shared" si="35"/>
        <v>0</v>
      </c>
      <c r="G98" s="266">
        <f t="shared" si="35"/>
        <v>0</v>
      </c>
      <c r="H98" s="266">
        <f t="shared" si="35"/>
        <v>0</v>
      </c>
      <c r="I98" s="266">
        <f t="shared" si="35"/>
        <v>0</v>
      </c>
    </row>
    <row r="99" spans="1:9" ht="15.75" customHeight="1" x14ac:dyDescent="0.25">
      <c r="A99" s="74" t="str">
        <f t="shared" si="0"/>
        <v>Brinjal</v>
      </c>
      <c r="B99" s="50"/>
      <c r="C99" s="266">
        <f t="shared" ref="C99:I99" si="36">$B99*C46</f>
        <v>0</v>
      </c>
      <c r="D99" s="266">
        <f t="shared" si="36"/>
        <v>0</v>
      </c>
      <c r="E99" s="266">
        <f t="shared" si="36"/>
        <v>0</v>
      </c>
      <c r="F99" s="266">
        <f t="shared" si="36"/>
        <v>0</v>
      </c>
      <c r="G99" s="266">
        <f t="shared" si="36"/>
        <v>0</v>
      </c>
      <c r="H99" s="266">
        <f t="shared" si="36"/>
        <v>0</v>
      </c>
      <c r="I99" s="266">
        <f t="shared" si="36"/>
        <v>0</v>
      </c>
    </row>
    <row r="100" spans="1:9" ht="15.75" customHeight="1" x14ac:dyDescent="0.25">
      <c r="A100" s="74">
        <f t="shared" si="0"/>
        <v>0</v>
      </c>
      <c r="B100" s="50"/>
      <c r="C100" s="266">
        <f t="shared" ref="C100:I100" si="37">$B100*C47</f>
        <v>0</v>
      </c>
      <c r="D100" s="266">
        <f t="shared" si="37"/>
        <v>0</v>
      </c>
      <c r="E100" s="266">
        <f t="shared" si="37"/>
        <v>0</v>
      </c>
      <c r="F100" s="266">
        <f t="shared" si="37"/>
        <v>0</v>
      </c>
      <c r="G100" s="266">
        <f t="shared" si="37"/>
        <v>0</v>
      </c>
      <c r="H100" s="266">
        <f t="shared" si="37"/>
        <v>0</v>
      </c>
      <c r="I100" s="266">
        <f t="shared" si="37"/>
        <v>0</v>
      </c>
    </row>
    <row r="101" spans="1:9" ht="15.75" customHeight="1" x14ac:dyDescent="0.25">
      <c r="A101" s="74">
        <f t="shared" si="0"/>
        <v>0</v>
      </c>
      <c r="B101" s="50"/>
      <c r="C101" s="266">
        <f t="shared" ref="C101:I101" si="38">$B101*C48</f>
        <v>0</v>
      </c>
      <c r="D101" s="266">
        <f t="shared" si="38"/>
        <v>0</v>
      </c>
      <c r="E101" s="266">
        <f t="shared" si="38"/>
        <v>0</v>
      </c>
      <c r="F101" s="266">
        <f t="shared" si="38"/>
        <v>0</v>
      </c>
      <c r="G101" s="266">
        <f t="shared" si="38"/>
        <v>0</v>
      </c>
      <c r="H101" s="266">
        <f t="shared" si="38"/>
        <v>0</v>
      </c>
      <c r="I101" s="266">
        <f t="shared" si="38"/>
        <v>0</v>
      </c>
    </row>
    <row r="102" spans="1:9" ht="15.75" customHeight="1" x14ac:dyDescent="0.25">
      <c r="A102" s="74">
        <f t="shared" si="0"/>
        <v>0</v>
      </c>
      <c r="B102" s="50"/>
      <c r="C102" s="266">
        <f t="shared" ref="C102:I102" si="39">$B102*C49</f>
        <v>0</v>
      </c>
      <c r="D102" s="266">
        <f t="shared" si="39"/>
        <v>0</v>
      </c>
      <c r="E102" s="266">
        <f t="shared" si="39"/>
        <v>0</v>
      </c>
      <c r="F102" s="266">
        <f t="shared" si="39"/>
        <v>0</v>
      </c>
      <c r="G102" s="266">
        <f t="shared" si="39"/>
        <v>0</v>
      </c>
      <c r="H102" s="266">
        <f t="shared" si="39"/>
        <v>0</v>
      </c>
      <c r="I102" s="266">
        <f t="shared" si="39"/>
        <v>0</v>
      </c>
    </row>
    <row r="103" spans="1:9" ht="15.75" customHeight="1" x14ac:dyDescent="0.25">
      <c r="A103" s="74">
        <f t="shared" si="0"/>
        <v>0</v>
      </c>
      <c r="B103" s="50"/>
      <c r="C103" s="266">
        <f t="shared" ref="C103:I103" si="40">$B103*C50</f>
        <v>0</v>
      </c>
      <c r="D103" s="266">
        <f t="shared" si="40"/>
        <v>0</v>
      </c>
      <c r="E103" s="266">
        <f t="shared" si="40"/>
        <v>0</v>
      </c>
      <c r="F103" s="266">
        <f t="shared" si="40"/>
        <v>0</v>
      </c>
      <c r="G103" s="266">
        <f t="shared" si="40"/>
        <v>0</v>
      </c>
      <c r="H103" s="266">
        <f t="shared" si="40"/>
        <v>0</v>
      </c>
      <c r="I103" s="266">
        <f t="shared" si="40"/>
        <v>0</v>
      </c>
    </row>
    <row r="104" spans="1:9" ht="15.75" customHeight="1" x14ac:dyDescent="0.25">
      <c r="A104" s="74">
        <f t="shared" si="0"/>
        <v>0</v>
      </c>
      <c r="B104" s="50"/>
      <c r="C104" s="266">
        <f t="shared" ref="C104:I104" si="41">$B104*C51</f>
        <v>0</v>
      </c>
      <c r="D104" s="266">
        <f t="shared" si="41"/>
        <v>0</v>
      </c>
      <c r="E104" s="266">
        <f t="shared" si="41"/>
        <v>0</v>
      </c>
      <c r="F104" s="266">
        <f t="shared" si="41"/>
        <v>0</v>
      </c>
      <c r="G104" s="266">
        <f t="shared" si="41"/>
        <v>0</v>
      </c>
      <c r="H104" s="266">
        <f t="shared" si="41"/>
        <v>0</v>
      </c>
      <c r="I104" s="266">
        <f t="shared" si="41"/>
        <v>0</v>
      </c>
    </row>
    <row r="105" spans="1:9" ht="15.75" customHeight="1" x14ac:dyDescent="0.25">
      <c r="A105" s="74">
        <f t="shared" si="0"/>
        <v>0</v>
      </c>
      <c r="B105" s="50"/>
      <c r="C105" s="266">
        <f t="shared" ref="C105:I105" si="42">$B105*C52</f>
        <v>0</v>
      </c>
      <c r="D105" s="266">
        <f t="shared" si="42"/>
        <v>0</v>
      </c>
      <c r="E105" s="266">
        <f t="shared" si="42"/>
        <v>0</v>
      </c>
      <c r="F105" s="266">
        <f t="shared" si="42"/>
        <v>0</v>
      </c>
      <c r="G105" s="266">
        <f t="shared" si="42"/>
        <v>0</v>
      </c>
      <c r="H105" s="266">
        <f t="shared" si="42"/>
        <v>0</v>
      </c>
      <c r="I105" s="266">
        <f t="shared" si="42"/>
        <v>0</v>
      </c>
    </row>
    <row r="106" spans="1:9" ht="15.75" customHeight="1" x14ac:dyDescent="0.25">
      <c r="A106" s="74">
        <f t="shared" si="0"/>
        <v>0</v>
      </c>
      <c r="B106" s="50"/>
      <c r="C106" s="266">
        <f t="shared" ref="C106:I106" si="43">$B106*C53</f>
        <v>0</v>
      </c>
      <c r="D106" s="266">
        <f t="shared" si="43"/>
        <v>0</v>
      </c>
      <c r="E106" s="266">
        <f t="shared" si="43"/>
        <v>0</v>
      </c>
      <c r="F106" s="266">
        <f t="shared" si="43"/>
        <v>0</v>
      </c>
      <c r="G106" s="266">
        <f t="shared" si="43"/>
        <v>0</v>
      </c>
      <c r="H106" s="266">
        <f t="shared" si="43"/>
        <v>0</v>
      </c>
      <c r="I106" s="266">
        <f t="shared" si="43"/>
        <v>0</v>
      </c>
    </row>
    <row r="107" spans="1:9" ht="15.75" customHeight="1" x14ac:dyDescent="0.25">
      <c r="A107" s="74" t="str">
        <f t="shared" si="0"/>
        <v>Pomegranate</v>
      </c>
      <c r="B107" s="50"/>
      <c r="C107" s="266">
        <f t="shared" ref="C107:I107" si="44">$B107*C54</f>
        <v>0</v>
      </c>
      <c r="D107" s="266">
        <f t="shared" si="44"/>
        <v>0</v>
      </c>
      <c r="E107" s="266">
        <f t="shared" si="44"/>
        <v>0</v>
      </c>
      <c r="F107" s="266">
        <f t="shared" si="44"/>
        <v>0</v>
      </c>
      <c r="G107" s="266">
        <f t="shared" si="44"/>
        <v>0</v>
      </c>
      <c r="H107" s="266">
        <f t="shared" si="44"/>
        <v>0</v>
      </c>
      <c r="I107" s="266">
        <f t="shared" si="44"/>
        <v>0</v>
      </c>
    </row>
    <row r="108" spans="1:9" ht="15.75" customHeight="1" x14ac:dyDescent="0.25">
      <c r="A108" s="74" t="str">
        <f t="shared" si="0"/>
        <v>Custard Apple</v>
      </c>
      <c r="B108" s="50"/>
      <c r="C108" s="266">
        <f t="shared" ref="C108:I108" si="45">$B108*C55</f>
        <v>0</v>
      </c>
      <c r="D108" s="266">
        <f t="shared" si="45"/>
        <v>0</v>
      </c>
      <c r="E108" s="266">
        <f t="shared" si="45"/>
        <v>0</v>
      </c>
      <c r="F108" s="266">
        <f t="shared" si="45"/>
        <v>0</v>
      </c>
      <c r="G108" s="266">
        <f t="shared" si="45"/>
        <v>0</v>
      </c>
      <c r="H108" s="266">
        <f t="shared" si="45"/>
        <v>0</v>
      </c>
      <c r="I108" s="266">
        <f t="shared" si="45"/>
        <v>0</v>
      </c>
    </row>
    <row r="109" spans="1:9" ht="15.75" customHeight="1" x14ac:dyDescent="0.25">
      <c r="A109" s="74" t="str">
        <f t="shared" si="0"/>
        <v>Guava</v>
      </c>
      <c r="B109" s="50"/>
      <c r="C109" s="266">
        <f t="shared" ref="C109:I109" si="46">$B109*C56</f>
        <v>0</v>
      </c>
      <c r="D109" s="266">
        <f t="shared" si="46"/>
        <v>0</v>
      </c>
      <c r="E109" s="266">
        <f t="shared" si="46"/>
        <v>0</v>
      </c>
      <c r="F109" s="266">
        <f t="shared" si="46"/>
        <v>0</v>
      </c>
      <c r="G109" s="266">
        <f t="shared" si="46"/>
        <v>0</v>
      </c>
      <c r="H109" s="266">
        <f t="shared" si="46"/>
        <v>0</v>
      </c>
      <c r="I109" s="266">
        <f t="shared" si="46"/>
        <v>0</v>
      </c>
    </row>
    <row r="110" spans="1:9" ht="15.75" customHeight="1" x14ac:dyDescent="0.25">
      <c r="A110" s="74" t="str">
        <f t="shared" si="0"/>
        <v>Citrus</v>
      </c>
      <c r="B110" s="50"/>
      <c r="C110" s="266">
        <f t="shared" ref="C110:I110" si="47">$B110*C57</f>
        <v>0</v>
      </c>
      <c r="D110" s="266">
        <f t="shared" si="47"/>
        <v>0</v>
      </c>
      <c r="E110" s="266">
        <f t="shared" si="47"/>
        <v>0</v>
      </c>
      <c r="F110" s="266">
        <f t="shared" si="47"/>
        <v>0</v>
      </c>
      <c r="G110" s="266">
        <f t="shared" si="47"/>
        <v>0</v>
      </c>
      <c r="H110" s="266">
        <f t="shared" si="47"/>
        <v>0</v>
      </c>
      <c r="I110" s="266">
        <f t="shared" si="47"/>
        <v>0</v>
      </c>
    </row>
    <row r="111" spans="1:9" ht="15.75" customHeight="1" x14ac:dyDescent="0.25">
      <c r="A111" s="74"/>
      <c r="B111" s="50"/>
      <c r="C111" s="266"/>
      <c r="D111" s="266"/>
      <c r="E111" s="266"/>
      <c r="F111" s="266"/>
      <c r="G111" s="266"/>
      <c r="H111" s="266"/>
      <c r="I111" s="266"/>
    </row>
    <row r="112" spans="1:9" ht="15.75" customHeight="1" x14ac:dyDescent="0.25">
      <c r="A112" s="74"/>
      <c r="B112" s="50"/>
      <c r="C112" s="266"/>
      <c r="D112" s="266"/>
      <c r="E112" s="266"/>
      <c r="F112" s="266"/>
      <c r="G112" s="266"/>
      <c r="H112" s="266"/>
      <c r="I112" s="266"/>
    </row>
    <row r="113" spans="1:23" ht="15.75" customHeight="1" x14ac:dyDescent="0.25">
      <c r="A113" s="77" t="s">
        <v>670</v>
      </c>
      <c r="B113" s="74"/>
      <c r="C113" s="74"/>
      <c r="D113" s="74"/>
      <c r="E113" s="74"/>
      <c r="F113" s="74"/>
      <c r="G113" s="74"/>
      <c r="H113" s="74"/>
      <c r="I113" s="74"/>
    </row>
    <row r="114" spans="1:23" ht="15.75" customHeight="1" x14ac:dyDescent="0.25">
      <c r="A114" s="74" t="s">
        <v>671</v>
      </c>
      <c r="B114" s="50"/>
      <c r="C114" s="266">
        <f t="shared" ref="C114:I114" si="48">SUM(C62:C110)*$B$114</f>
        <v>0</v>
      </c>
      <c r="D114" s="266">
        <f t="shared" si="48"/>
        <v>0</v>
      </c>
      <c r="E114" s="266">
        <f t="shared" si="48"/>
        <v>0</v>
      </c>
      <c r="F114" s="266">
        <f t="shared" si="48"/>
        <v>0</v>
      </c>
      <c r="G114" s="266">
        <f t="shared" si="48"/>
        <v>0</v>
      </c>
      <c r="H114" s="266">
        <f t="shared" si="48"/>
        <v>0</v>
      </c>
      <c r="I114" s="266">
        <f t="shared" si="48"/>
        <v>0</v>
      </c>
    </row>
    <row r="115" spans="1:23" ht="15.75" customHeight="1" x14ac:dyDescent="0.25">
      <c r="A115" s="74" t="s">
        <v>672</v>
      </c>
      <c r="B115" s="50">
        <v>300</v>
      </c>
      <c r="C115" s="266">
        <f t="shared" ref="C115:I115" si="49">SUM(C62:C110)*$B$115</f>
        <v>147000</v>
      </c>
      <c r="D115" s="266">
        <f t="shared" si="49"/>
        <v>183750</v>
      </c>
      <c r="E115" s="266">
        <f t="shared" si="49"/>
        <v>220500</v>
      </c>
      <c r="F115" s="266">
        <f t="shared" si="49"/>
        <v>257250</v>
      </c>
      <c r="G115" s="266">
        <f t="shared" si="49"/>
        <v>294000</v>
      </c>
      <c r="H115" s="266">
        <f t="shared" si="49"/>
        <v>330750</v>
      </c>
      <c r="I115" s="266">
        <f t="shared" si="49"/>
        <v>367500</v>
      </c>
    </row>
    <row r="116" spans="1:23" ht="15.75" customHeight="1" x14ac:dyDescent="0.25">
      <c r="A116" s="74" t="s">
        <v>673</v>
      </c>
      <c r="B116" s="50"/>
      <c r="C116" s="266">
        <f t="shared" ref="C116:I116" si="50">SUM(C62:C110)*$B$116</f>
        <v>0</v>
      </c>
      <c r="D116" s="266">
        <f t="shared" si="50"/>
        <v>0</v>
      </c>
      <c r="E116" s="266">
        <f t="shared" si="50"/>
        <v>0</v>
      </c>
      <c r="F116" s="266">
        <f t="shared" si="50"/>
        <v>0</v>
      </c>
      <c r="G116" s="266">
        <f t="shared" si="50"/>
        <v>0</v>
      </c>
      <c r="H116" s="266">
        <f t="shared" si="50"/>
        <v>0</v>
      </c>
      <c r="I116" s="266">
        <f t="shared" si="50"/>
        <v>0</v>
      </c>
    </row>
    <row r="117" spans="1:23" ht="15.75" customHeight="1" x14ac:dyDescent="0.25">
      <c r="A117" s="77" t="s">
        <v>674</v>
      </c>
      <c r="B117" s="50"/>
      <c r="C117" s="74"/>
      <c r="D117" s="74"/>
      <c r="E117" s="74"/>
      <c r="F117" s="74"/>
      <c r="G117" s="74"/>
      <c r="H117" s="74"/>
      <c r="I117" s="74"/>
    </row>
    <row r="118" spans="1:23" ht="15.75" customHeight="1" x14ac:dyDescent="0.25">
      <c r="A118" s="305" t="s">
        <v>726</v>
      </c>
      <c r="B118" s="50">
        <v>1</v>
      </c>
      <c r="C118" s="266">
        <f t="shared" ref="C118:I118" si="51">SUM(C62:C110)*$B$118</f>
        <v>490</v>
      </c>
      <c r="D118" s="266">
        <f t="shared" si="51"/>
        <v>612.5</v>
      </c>
      <c r="E118" s="266">
        <f t="shared" si="51"/>
        <v>735</v>
      </c>
      <c r="F118" s="266">
        <f t="shared" si="51"/>
        <v>857.5</v>
      </c>
      <c r="G118" s="266">
        <f t="shared" si="51"/>
        <v>980</v>
      </c>
      <c r="H118" s="266">
        <f t="shared" si="51"/>
        <v>1102.5</v>
      </c>
      <c r="I118" s="266">
        <f t="shared" si="51"/>
        <v>1225</v>
      </c>
    </row>
    <row r="119" spans="1:23" ht="15.75" customHeight="1" x14ac:dyDescent="0.25">
      <c r="A119" s="74" t="s">
        <v>676</v>
      </c>
      <c r="B119" s="50"/>
      <c r="C119" s="266">
        <f t="shared" ref="C119:I119" si="52">SUM(C62:C110)*$B$119</f>
        <v>0</v>
      </c>
      <c r="D119" s="266">
        <f t="shared" si="52"/>
        <v>0</v>
      </c>
      <c r="E119" s="266">
        <f t="shared" si="52"/>
        <v>0</v>
      </c>
      <c r="F119" s="266">
        <f t="shared" si="52"/>
        <v>0</v>
      </c>
      <c r="G119" s="266">
        <f t="shared" si="52"/>
        <v>0</v>
      </c>
      <c r="H119" s="266">
        <f t="shared" si="52"/>
        <v>0</v>
      </c>
      <c r="I119" s="266">
        <f t="shared" si="52"/>
        <v>0</v>
      </c>
    </row>
    <row r="120" spans="1:23" ht="15.75" customHeight="1" x14ac:dyDescent="0.25"/>
    <row r="121" spans="1:23" ht="15.75" customHeight="1" x14ac:dyDescent="0.25"/>
    <row r="122" spans="1:23" ht="15.75" customHeight="1" x14ac:dyDescent="0.3">
      <c r="A122" s="354" t="s">
        <v>677</v>
      </c>
      <c r="B122" s="338"/>
      <c r="C122" s="338"/>
      <c r="D122" s="338"/>
      <c r="E122" s="338"/>
      <c r="F122" s="338"/>
      <c r="G122" s="338"/>
      <c r="H122" s="338"/>
      <c r="I122" s="338"/>
      <c r="J122" s="338"/>
    </row>
    <row r="123" spans="1:23" ht="15.75" customHeight="1" x14ac:dyDescent="0.25">
      <c r="A123" s="26"/>
      <c r="B123" s="26"/>
      <c r="C123" s="26"/>
      <c r="D123" s="26"/>
      <c r="E123" s="26"/>
      <c r="F123" s="26"/>
      <c r="G123" s="26"/>
      <c r="H123" s="26"/>
    </row>
    <row r="124" spans="1:23" ht="15.75" customHeight="1" x14ac:dyDescent="0.25">
      <c r="A124" s="92"/>
      <c r="B124" s="92"/>
      <c r="C124" s="92"/>
      <c r="D124" s="267">
        <v>1</v>
      </c>
      <c r="E124" s="268">
        <f t="shared" ref="E124:J124" si="53">(D124*5%)+D124</f>
        <v>1.05</v>
      </c>
      <c r="F124" s="268">
        <f t="shared" si="53"/>
        <v>1.1025</v>
      </c>
      <c r="G124" s="268">
        <f t="shared" si="53"/>
        <v>1.1576250000000001</v>
      </c>
      <c r="H124" s="268">
        <f t="shared" si="53"/>
        <v>1.2155062500000002</v>
      </c>
      <c r="I124" s="268">
        <f t="shared" si="53"/>
        <v>1.2762815625000004</v>
      </c>
      <c r="J124" s="268">
        <f t="shared" si="53"/>
        <v>1.3400956406250004</v>
      </c>
      <c r="K124" s="69"/>
      <c r="U124" s="69"/>
      <c r="V124" s="69"/>
      <c r="W124" s="69"/>
    </row>
    <row r="125" spans="1:23" ht="15.75" customHeight="1" x14ac:dyDescent="0.25">
      <c r="A125" s="69"/>
      <c r="B125" s="69"/>
      <c r="C125" s="69"/>
      <c r="D125" s="69"/>
      <c r="E125" s="69"/>
      <c r="F125" s="69"/>
      <c r="G125" s="69"/>
      <c r="H125" s="69"/>
      <c r="I125" s="69"/>
      <c r="J125" s="69"/>
      <c r="K125" s="69"/>
      <c r="U125" s="69"/>
      <c r="V125" s="69"/>
      <c r="W125" s="69"/>
    </row>
    <row r="126" spans="1:23" ht="15.75" customHeight="1" x14ac:dyDescent="0.25">
      <c r="A126" s="72" t="s">
        <v>148</v>
      </c>
      <c r="B126" s="72" t="s">
        <v>121</v>
      </c>
      <c r="C126" s="72" t="s">
        <v>131</v>
      </c>
      <c r="D126" s="73" t="s">
        <v>151</v>
      </c>
      <c r="E126" s="73" t="s">
        <v>152</v>
      </c>
      <c r="F126" s="73" t="s">
        <v>153</v>
      </c>
      <c r="G126" s="73" t="s">
        <v>154</v>
      </c>
      <c r="H126" s="73" t="s">
        <v>155</v>
      </c>
      <c r="I126" s="73" t="s">
        <v>156</v>
      </c>
      <c r="J126" s="73" t="s">
        <v>157</v>
      </c>
      <c r="K126" s="69"/>
      <c r="U126" s="69"/>
      <c r="V126" s="69"/>
      <c r="W126" s="69"/>
    </row>
    <row r="127" spans="1:23" ht="15.75" customHeight="1" x14ac:dyDescent="0.25">
      <c r="A127" s="77" t="s">
        <v>348</v>
      </c>
      <c r="B127" s="74"/>
      <c r="C127" s="74"/>
      <c r="D127" s="74"/>
      <c r="E127" s="74"/>
      <c r="F127" s="74"/>
      <c r="G127" s="74"/>
      <c r="H127" s="74"/>
      <c r="I127" s="74"/>
      <c r="J127" s="74"/>
      <c r="K127" s="69"/>
      <c r="U127" s="69"/>
      <c r="V127" s="69"/>
      <c r="W127" s="69"/>
    </row>
    <row r="128" spans="1:23" ht="15.75" customHeight="1" x14ac:dyDescent="0.25">
      <c r="A128" s="74" t="s">
        <v>678</v>
      </c>
      <c r="B128" s="74"/>
      <c r="C128" s="74"/>
      <c r="D128" s="74"/>
      <c r="E128" s="74"/>
      <c r="F128" s="74"/>
      <c r="G128" s="74"/>
      <c r="H128" s="74"/>
      <c r="I128" s="74"/>
      <c r="J128" s="74"/>
      <c r="K128" s="69"/>
      <c r="U128" s="69"/>
      <c r="V128" s="69"/>
      <c r="W128" s="69"/>
    </row>
    <row r="129" spans="1:23" ht="15.75" customHeight="1" x14ac:dyDescent="0.25">
      <c r="A129" s="77" t="str">
        <f t="shared" ref="A129:A179" si="54">A8</f>
        <v>Kharif Crops</v>
      </c>
      <c r="B129" s="74"/>
      <c r="C129" s="74"/>
      <c r="D129" s="74"/>
      <c r="E129" s="74"/>
      <c r="F129" s="74"/>
      <c r="G129" s="74"/>
      <c r="H129" s="74"/>
      <c r="I129" s="74"/>
      <c r="J129" s="74"/>
      <c r="K129" s="69"/>
      <c r="U129" s="69"/>
      <c r="V129" s="69"/>
      <c r="W129" s="69"/>
    </row>
    <row r="130" spans="1:23" ht="15.75" customHeight="1" x14ac:dyDescent="0.25">
      <c r="A130" s="74" t="str">
        <f t="shared" si="54"/>
        <v>Turmeric</v>
      </c>
      <c r="B130" s="74"/>
      <c r="C130" s="50">
        <v>90</v>
      </c>
      <c r="D130" s="76">
        <f>(C62*(1-'5.Closing Stock &amp; W Capital'!$D$15))*$C$130*D$124</f>
        <v>0</v>
      </c>
      <c r="E130" s="76">
        <f>(D62*(1-'5.Closing Stock &amp; W Capital'!$D$15))*$C$130*E$124</f>
        <v>0</v>
      </c>
      <c r="F130" s="76">
        <f>(E62*(1-'5.Closing Stock &amp; W Capital'!$D$15))*$C$130*F$124</f>
        <v>0</v>
      </c>
      <c r="G130" s="76">
        <f>(F62*(1-'5.Closing Stock &amp; W Capital'!$D$15))*$C$130*G$124</f>
        <v>0</v>
      </c>
      <c r="H130" s="76">
        <f>(G62*(1-'5.Closing Stock &amp; W Capital'!$D$15))*$C$130*H$124</f>
        <v>0</v>
      </c>
      <c r="I130" s="76">
        <f>(H62*(1-'5.Closing Stock &amp; W Capital'!$D$15))*$C$130*I$124</f>
        <v>0</v>
      </c>
      <c r="J130" s="76">
        <f>(I62*(1-'5.Closing Stock &amp; W Capital'!$D$15))*$C$130*J$124</f>
        <v>0</v>
      </c>
      <c r="K130" s="69"/>
      <c r="U130" s="69"/>
      <c r="V130" s="69"/>
      <c r="W130" s="69"/>
    </row>
    <row r="131" spans="1:23" ht="15.75" customHeight="1" x14ac:dyDescent="0.25">
      <c r="A131" s="74" t="str">
        <f t="shared" si="54"/>
        <v>Red Gram/Tur</v>
      </c>
      <c r="B131" s="74"/>
      <c r="C131" s="75">
        <v>80</v>
      </c>
      <c r="D131" s="76">
        <f>(C63*(1-'5.Closing Stock &amp; W Capital'!$D$15))*$C$131*D$124</f>
        <v>0</v>
      </c>
      <c r="E131" s="76">
        <f>((D63*(1-'5.Closing Stock &amp; W Capital'!$D$15))+(C63*'5.Closing Stock &amp; W Capital'!$D$15))*$C$131*E$124</f>
        <v>0</v>
      </c>
      <c r="F131" s="76">
        <f>((E63*(1-'5.Closing Stock &amp; W Capital'!$D$15))+(D63*'5.Closing Stock &amp; W Capital'!$D$15))*$C$131*F$124</f>
        <v>0</v>
      </c>
      <c r="G131" s="76">
        <f>((F63*(1-'5.Closing Stock &amp; W Capital'!$D$15))+(E63*'5.Closing Stock &amp; W Capital'!$D$15))*$C$131*G124</f>
        <v>0</v>
      </c>
      <c r="H131" s="76">
        <f>((G63*(1-'5.Closing Stock &amp; W Capital'!$D$15))+(F63*'5.Closing Stock &amp; W Capital'!$D$15))*$C$131*H124</f>
        <v>0</v>
      </c>
      <c r="I131" s="76">
        <f>((H63*(1-'5.Closing Stock &amp; W Capital'!$D$15))+(G63*'5.Closing Stock &amp; W Capital'!$D$15))*$C$131*I124</f>
        <v>0</v>
      </c>
      <c r="J131" s="76">
        <f>((I63*(1-'5.Closing Stock &amp; W Capital'!$D$15))+(H63*'5.Closing Stock &amp; W Capital'!$D$15))*$C$131*J124</f>
        <v>0</v>
      </c>
      <c r="K131" s="69"/>
      <c r="U131" s="70"/>
      <c r="V131" s="69"/>
      <c r="W131" s="69"/>
    </row>
    <row r="132" spans="1:23" ht="15.75" customHeight="1" x14ac:dyDescent="0.25">
      <c r="A132" s="74" t="str">
        <f t="shared" si="54"/>
        <v>Paddy/Rice</v>
      </c>
      <c r="B132" s="74"/>
      <c r="C132" s="75">
        <v>65</v>
      </c>
      <c r="D132" s="76">
        <f>(C64*(1-'5.Closing Stock &amp; W Capital'!$D$15))*$C$132*D$124</f>
        <v>0</v>
      </c>
      <c r="E132" s="76">
        <f>((D64*(1-'5.Closing Stock &amp; W Capital'!$D$15))+(C64*'5.Closing Stock &amp; W Capital'!$D$15))*$C$132*E$124</f>
        <v>0</v>
      </c>
      <c r="F132" s="76">
        <f>((E64*(1-'5.Closing Stock &amp; W Capital'!$D$15))+(D64*'5.Closing Stock &amp; W Capital'!$D$15))*$C$132*F$124</f>
        <v>0</v>
      </c>
      <c r="G132" s="76">
        <f>((F64*(1-'5.Closing Stock &amp; W Capital'!$D$15))+(E64*'5.Closing Stock &amp; W Capital'!$D$15))*$C$132*G124</f>
        <v>0</v>
      </c>
      <c r="H132" s="76">
        <f>((G64*(1-'5.Closing Stock &amp; W Capital'!$D$15))+(F64*'5.Closing Stock &amp; W Capital'!$D$15))*$C$132*H124</f>
        <v>0</v>
      </c>
      <c r="I132" s="76">
        <f>((H64*(1-'5.Closing Stock &amp; W Capital'!$D$15))+(G64*'5.Closing Stock &amp; W Capital'!$D$15))*$C$132*I124</f>
        <v>0</v>
      </c>
      <c r="J132" s="76">
        <f>((I64*(1-'5.Closing Stock &amp; W Capital'!$D$15))+(H64*'5.Closing Stock &amp; W Capital'!$D$15))*$C$132*J124</f>
        <v>0</v>
      </c>
      <c r="K132" s="69"/>
      <c r="U132" s="69"/>
      <c r="V132" s="69"/>
      <c r="W132" s="69"/>
    </row>
    <row r="133" spans="1:23" ht="15.75" customHeight="1" x14ac:dyDescent="0.25">
      <c r="A133" s="74" t="str">
        <f t="shared" si="54"/>
        <v>Green Gram/ Moong</v>
      </c>
      <c r="B133" s="74"/>
      <c r="C133" s="75">
        <v>85</v>
      </c>
      <c r="D133" s="76">
        <f>(C65*(1-'5.Closing Stock &amp; W Capital'!$D$15))*$C$133*D$124</f>
        <v>0</v>
      </c>
      <c r="E133" s="76">
        <f>((D65*(1-'5.Closing Stock &amp; W Capital'!$D$15))+(C65*'5.Closing Stock &amp; W Capital'!$D$15))*$C$133*E$124</f>
        <v>0</v>
      </c>
      <c r="F133" s="76">
        <f>((E65*(1-'5.Closing Stock &amp; W Capital'!$D$15))+(D65*'5.Closing Stock &amp; W Capital'!$D$15))*$C$133*F$124</f>
        <v>0</v>
      </c>
      <c r="G133" s="76">
        <f>((F65*(1-'5.Closing Stock &amp; W Capital'!$D$15))+(E65*'5.Closing Stock &amp; W Capital'!$D$15))*$C$133*G$124</f>
        <v>0</v>
      </c>
      <c r="H133" s="76">
        <f>((G65*(1-'5.Closing Stock &amp; W Capital'!$D$15))+(F65*'5.Closing Stock &amp; W Capital'!$D$15))*$C$133*H$124</f>
        <v>0</v>
      </c>
      <c r="I133" s="76">
        <f>((H65*(1-'5.Closing Stock &amp; W Capital'!$D$15))+(G65*'5.Closing Stock &amp; W Capital'!$D$15))*$C$133*I$124</f>
        <v>0</v>
      </c>
      <c r="J133" s="76">
        <f>((I65*(1-'5.Closing Stock &amp; W Capital'!$D$15))+(H65*'5.Closing Stock &amp; W Capital'!$D$15))*$C$133*J$124</f>
        <v>0</v>
      </c>
      <c r="K133" s="69"/>
      <c r="U133" s="69"/>
      <c r="V133" s="69"/>
      <c r="W133" s="69"/>
    </row>
    <row r="134" spans="1:23" ht="15.75" customHeight="1" x14ac:dyDescent="0.25">
      <c r="A134" s="74" t="str">
        <f t="shared" si="54"/>
        <v>Maize</v>
      </c>
      <c r="B134" s="74"/>
      <c r="C134" s="75">
        <v>37</v>
      </c>
      <c r="D134" s="76">
        <f>(C66*(1-'5.Closing Stock &amp; W Capital'!$D$15))*$C$134*D$124</f>
        <v>0</v>
      </c>
      <c r="E134" s="76">
        <f>((D66*(1-'5.Closing Stock &amp; W Capital'!$D$15))+(C66*'5.Closing Stock &amp; W Capital'!$D$15))*$C$135*E$124</f>
        <v>0</v>
      </c>
      <c r="F134" s="76">
        <f>((E66*(1-'5.Closing Stock &amp; W Capital'!$D$15))+(D66*'5.Closing Stock &amp; W Capital'!$D$15))*$C$135*F$124</f>
        <v>0</v>
      </c>
      <c r="G134" s="76">
        <f>((F66*(1-'5.Closing Stock &amp; W Capital'!$D$15))+(E66*'5.Closing Stock &amp; W Capital'!$D$15))*$C$135*G$124</f>
        <v>0</v>
      </c>
      <c r="H134" s="76">
        <f>((G66*(1-'5.Closing Stock &amp; W Capital'!$D$15))+(F66*'5.Closing Stock &amp; W Capital'!$D$15))*$C$135*H$124</f>
        <v>0</v>
      </c>
      <c r="I134" s="76">
        <f>((H66*(1-'5.Closing Stock &amp; W Capital'!$D$15))+(G66*'5.Closing Stock &amp; W Capital'!$D$15))*$C$135*I$124</f>
        <v>0</v>
      </c>
      <c r="J134" s="76">
        <f>((I66*(1-'5.Closing Stock &amp; W Capital'!$D$15))+(H66*'5.Closing Stock &amp; W Capital'!$D$15))*$C$135*J$124</f>
        <v>0</v>
      </c>
      <c r="K134" s="69"/>
      <c r="U134" s="69"/>
      <c r="V134" s="69"/>
      <c r="W134" s="69"/>
    </row>
    <row r="135" spans="1:23" ht="15.75" customHeight="1" x14ac:dyDescent="0.25">
      <c r="A135" s="74" t="str">
        <f t="shared" si="54"/>
        <v>Black Gram/Udid</v>
      </c>
      <c r="B135" s="74"/>
      <c r="C135" s="75">
        <v>75</v>
      </c>
      <c r="D135" s="76">
        <f>(C67*(1-'5.Closing Stock &amp; W Capital'!$D$15))*$C$135*D$124</f>
        <v>0</v>
      </c>
      <c r="E135" s="76">
        <f>((D67*(1-'5.Closing Stock &amp; W Capital'!$D$15))+(C67*'5.Closing Stock &amp; W Capital'!$D$15))*$C$135*E$124</f>
        <v>0</v>
      </c>
      <c r="F135" s="76">
        <f>((E67*(1-'5.Closing Stock &amp; W Capital'!$D$15))+(D67*'5.Closing Stock &amp; W Capital'!$D$15))*$C$135*F$124</f>
        <v>0</v>
      </c>
      <c r="G135" s="76">
        <f>((F67*(1-'5.Closing Stock &amp; W Capital'!$D$15))+(E67*'5.Closing Stock &amp; W Capital'!$D$15))*$C$135*G$124</f>
        <v>0</v>
      </c>
      <c r="H135" s="76">
        <f>((G67*(1-'5.Closing Stock &amp; W Capital'!$D$15))+(F67*'5.Closing Stock &amp; W Capital'!$D$15))*$C$135*H$124</f>
        <v>0</v>
      </c>
      <c r="I135" s="76">
        <f>((H67*(1-'5.Closing Stock &amp; W Capital'!$D$15))+(G67*'5.Closing Stock &amp; W Capital'!$D$15))*$C$135*I$124</f>
        <v>0</v>
      </c>
      <c r="J135" s="76">
        <f>((I67*(1-'5.Closing Stock &amp; W Capital'!$D$15))+(H67*'5.Closing Stock &amp; W Capital'!$D$15))*$C$135*J$124</f>
        <v>0</v>
      </c>
      <c r="K135" s="69"/>
      <c r="U135" s="69"/>
      <c r="V135" s="69"/>
      <c r="W135" s="69"/>
    </row>
    <row r="136" spans="1:23" ht="15.75" customHeight="1" x14ac:dyDescent="0.25">
      <c r="A136" s="74" t="str">
        <f t="shared" si="54"/>
        <v>Bajra</v>
      </c>
      <c r="B136" s="74"/>
      <c r="C136" s="75">
        <v>30</v>
      </c>
      <c r="D136" s="76">
        <f>(C68*(1-'5.Closing Stock &amp; W Capital'!$D$15))*$C$136*D$124</f>
        <v>0</v>
      </c>
      <c r="E136" s="76">
        <f>((D68*(1-'5.Closing Stock &amp; W Capital'!$D$15))+(C68*'5.Closing Stock &amp; W Capital'!$D$15))*$C$136*E$124</f>
        <v>0</v>
      </c>
      <c r="F136" s="76">
        <f>((E68*(1-'5.Closing Stock &amp; W Capital'!$D$15))+(D68*'5.Closing Stock &amp; W Capital'!$D$15))*$C$136*F$124</f>
        <v>0</v>
      </c>
      <c r="G136" s="76">
        <f>((F68*(1-'5.Closing Stock &amp; W Capital'!$D$15))+(E68*'5.Closing Stock &amp; W Capital'!$D$15))*$C$136*G$124</f>
        <v>0</v>
      </c>
      <c r="H136" s="76">
        <f>((G68*(1-'5.Closing Stock &amp; W Capital'!$D$15))+(F68*'5.Closing Stock &amp; W Capital'!$D$15))*$C$136*H$124</f>
        <v>0</v>
      </c>
      <c r="I136" s="76">
        <f>((H68*(1-'5.Closing Stock &amp; W Capital'!$D$15))+(G68*'5.Closing Stock &amp; W Capital'!$D$15))*$C$136*I$124</f>
        <v>0</v>
      </c>
      <c r="J136" s="76">
        <f>((I68*(1-'5.Closing Stock &amp; W Capital'!$D$15))+(H68*'5.Closing Stock &amp; W Capital'!$D$15))*$C$136*J$124</f>
        <v>0</v>
      </c>
      <c r="K136" s="69"/>
      <c r="U136" s="69"/>
      <c r="V136" s="69"/>
      <c r="W136" s="69"/>
    </row>
    <row r="137" spans="1:23" ht="15.75" customHeight="1" x14ac:dyDescent="0.25">
      <c r="A137" s="74" t="str">
        <f t="shared" si="54"/>
        <v>Jawar</v>
      </c>
      <c r="B137" s="74"/>
      <c r="C137" s="75">
        <v>30</v>
      </c>
      <c r="D137" s="76">
        <f>(C69*(1-'5.Closing Stock &amp; W Capital'!$D$15))*$C$137*D$124</f>
        <v>0</v>
      </c>
      <c r="E137" s="76">
        <f>((D69*(1-'5.Closing Stock &amp; W Capital'!$D$15))+(C69*'5.Closing Stock &amp; W Capital'!$D$15))*$C$137*E$124</f>
        <v>0</v>
      </c>
      <c r="F137" s="76">
        <f>((E69*(1-'5.Closing Stock &amp; W Capital'!$D$15))+(D69*'5.Closing Stock &amp; W Capital'!$D$15))*$C$137*F$124</f>
        <v>0</v>
      </c>
      <c r="G137" s="76">
        <f>((F69*(1-'5.Closing Stock &amp; W Capital'!$D$15))+(E69*'5.Closing Stock &amp; W Capital'!$D$15))*$C$137*G$124</f>
        <v>0</v>
      </c>
      <c r="H137" s="76">
        <f>((G69*(1-'5.Closing Stock &amp; W Capital'!$D$15))+(F69*'5.Closing Stock &amp; W Capital'!$D$15))*$C$137*H$124</f>
        <v>0</v>
      </c>
      <c r="I137" s="76">
        <f>((H69*(1-'5.Closing Stock &amp; W Capital'!$D$15))+(G69*'5.Closing Stock &amp; W Capital'!$D$15))*$C$137*I$124</f>
        <v>0</v>
      </c>
      <c r="J137" s="76">
        <f>((I69*(1-'5.Closing Stock &amp; W Capital'!$D$15))+(H69*'5.Closing Stock &amp; W Capital'!$D$15))*$C$137*J$124</f>
        <v>0</v>
      </c>
      <c r="K137" s="69"/>
      <c r="U137" s="69"/>
      <c r="V137" s="69"/>
      <c r="W137" s="69"/>
    </row>
    <row r="138" spans="1:23" ht="15.75" customHeight="1" x14ac:dyDescent="0.25">
      <c r="A138" s="77" t="str">
        <f t="shared" si="54"/>
        <v>Rabi Crop</v>
      </c>
      <c r="B138" s="74"/>
      <c r="C138" s="75"/>
      <c r="D138" s="76"/>
      <c r="E138" s="76"/>
      <c r="F138" s="76"/>
      <c r="G138" s="76"/>
      <c r="H138" s="76"/>
      <c r="I138" s="76"/>
      <c r="J138" s="76"/>
      <c r="K138" s="69"/>
      <c r="U138" s="69"/>
      <c r="V138" s="69"/>
      <c r="W138" s="69"/>
    </row>
    <row r="139" spans="1:23" ht="15.75" customHeight="1" x14ac:dyDescent="0.25">
      <c r="A139" s="74" t="str">
        <f t="shared" si="54"/>
        <v>Wheat</v>
      </c>
      <c r="B139" s="74"/>
      <c r="C139" s="75">
        <v>40</v>
      </c>
      <c r="D139" s="76">
        <f>(C71*(1-'5.Closing Stock &amp; W Capital'!$D$15))*$C$139*D$124</f>
        <v>0</v>
      </c>
      <c r="E139" s="76">
        <f>((D71*(1-'5.Closing Stock &amp; W Capital'!$D$15))+(C71*'5.Closing Stock &amp; W Capital'!$D$15))*$C$139*E$124</f>
        <v>0</v>
      </c>
      <c r="F139" s="76">
        <f>((E71*(1-'5.Closing Stock &amp; W Capital'!$D$15))+(D71*'5.Closing Stock &amp; W Capital'!$D$15))*$C$139*F$124</f>
        <v>0</v>
      </c>
      <c r="G139" s="76">
        <f>((F71*(1-'5.Closing Stock &amp; W Capital'!$D$15))+(E71*'5.Closing Stock &amp; W Capital'!$D$15))*$C$139*G$124</f>
        <v>0</v>
      </c>
      <c r="H139" s="76">
        <f>((G71*(1-'5.Closing Stock &amp; W Capital'!$D$15))+(F71*'5.Closing Stock &amp; W Capital'!$D$15))*$C$139*H$124</f>
        <v>0</v>
      </c>
      <c r="I139" s="76">
        <f>((H71*(1-'5.Closing Stock &amp; W Capital'!$D$15))+(G71*'5.Closing Stock &amp; W Capital'!$D$15))*$C$139*I$124</f>
        <v>0</v>
      </c>
      <c r="J139" s="76">
        <f>((I71*(1-'5.Closing Stock &amp; W Capital'!$D$15))+(H71*'5.Closing Stock &amp; W Capital'!$D$15))*$C$139*J$124</f>
        <v>0</v>
      </c>
      <c r="K139" s="69"/>
      <c r="U139" s="69"/>
      <c r="V139" s="69"/>
      <c r="W139" s="69"/>
    </row>
    <row r="140" spans="1:23" ht="15.75" customHeight="1" x14ac:dyDescent="0.25">
      <c r="A140" s="74" t="str">
        <f t="shared" si="54"/>
        <v>Bengal Gram/Channa</v>
      </c>
      <c r="B140" s="74"/>
      <c r="C140" s="75">
        <v>75</v>
      </c>
      <c r="D140" s="76">
        <f>(C72*(1-'5.Closing Stock &amp; W Capital'!$D$15))*$C$140*D$124</f>
        <v>0</v>
      </c>
      <c r="E140" s="76">
        <f>((D72*(1-'5.Closing Stock &amp; W Capital'!$D$15))+(C72*'5.Closing Stock &amp; W Capital'!$D$15))*$C$140*E$124</f>
        <v>0</v>
      </c>
      <c r="F140" s="76">
        <f>((E72*(1-'5.Closing Stock &amp; W Capital'!$D$15))+(D72*'5.Closing Stock &amp; W Capital'!$D$15))*$C$140*F$124</f>
        <v>0</v>
      </c>
      <c r="G140" s="76">
        <f>((F72*(1-'5.Closing Stock &amp; W Capital'!$D$15))+(E72*'5.Closing Stock &amp; W Capital'!$D$15))*$C$140*G$124</f>
        <v>0</v>
      </c>
      <c r="H140" s="76">
        <f>((G72*(1-'5.Closing Stock &amp; W Capital'!$D$15))+(F72*'5.Closing Stock &amp; W Capital'!$D$15))*$C$140*H$124</f>
        <v>0</v>
      </c>
      <c r="I140" s="76">
        <f>((H72*(1-'5.Closing Stock &amp; W Capital'!$D$15))+(G72*'5.Closing Stock &amp; W Capital'!$D$15))*$C$140*I$124</f>
        <v>0</v>
      </c>
      <c r="J140" s="76">
        <f>((I72*(1-'5.Closing Stock &amp; W Capital'!$D$15))+(H72*'5.Closing Stock &amp; W Capital'!$D$15))*$C$140*J$124</f>
        <v>0</v>
      </c>
      <c r="K140" s="69"/>
      <c r="U140" s="69"/>
      <c r="V140" s="69"/>
      <c r="W140" s="69"/>
    </row>
    <row r="141" spans="1:23" ht="15.75" customHeight="1" x14ac:dyDescent="0.25">
      <c r="A141" s="74" t="str">
        <f t="shared" si="54"/>
        <v>Jawar</v>
      </c>
      <c r="B141" s="74"/>
      <c r="C141" s="75">
        <v>27</v>
      </c>
      <c r="D141" s="76">
        <f>(C73*(1-'5.Closing Stock &amp; W Capital'!$D$15))*$C$141*D$124</f>
        <v>0</v>
      </c>
      <c r="E141" s="76">
        <f>((D73*(1-'5.Closing Stock &amp; W Capital'!$D$15))+(C73*'5.Closing Stock &amp; W Capital'!$D$15))*$C$141*E$124</f>
        <v>0</v>
      </c>
      <c r="F141" s="76">
        <f>((E73*(1-'5.Closing Stock &amp; W Capital'!$D$15))+(D73*'5.Closing Stock &amp; W Capital'!$D$15))*$C$141*F$124</f>
        <v>0</v>
      </c>
      <c r="G141" s="76">
        <f>((F73*(1-'5.Closing Stock &amp; W Capital'!$D$15))+(E73*'5.Closing Stock &amp; W Capital'!$D$15))*$C$141*G$124</f>
        <v>0</v>
      </c>
      <c r="H141" s="76">
        <f>((G73*(1-'5.Closing Stock &amp; W Capital'!$D$15))+(F73*'5.Closing Stock &amp; W Capital'!$D$15))*$C$141*H$124</f>
        <v>0</v>
      </c>
      <c r="I141" s="76">
        <f>((H73*(1-'5.Closing Stock &amp; W Capital'!$D$15))+(G73*'5.Closing Stock &amp; W Capital'!$D$15))*$C$141*I$124</f>
        <v>0</v>
      </c>
      <c r="J141" s="76">
        <f>((I73*(1-'5.Closing Stock &amp; W Capital'!$D$15))+(H73*'5.Closing Stock &amp; W Capital'!$D$15))*$C$141*J$124</f>
        <v>0</v>
      </c>
      <c r="K141" s="69"/>
      <c r="U141" s="69"/>
      <c r="V141" s="69"/>
      <c r="W141" s="69"/>
    </row>
    <row r="142" spans="1:23" ht="15.75" customHeight="1" x14ac:dyDescent="0.25">
      <c r="A142" s="74" t="str">
        <f t="shared" si="54"/>
        <v>Maize</v>
      </c>
      <c r="B142" s="74"/>
      <c r="C142" s="75">
        <v>27</v>
      </c>
      <c r="D142" s="76">
        <f>(C74*(1-'5.Closing Stock &amp; W Capital'!$D$15))*$C$142*D$124</f>
        <v>0</v>
      </c>
      <c r="E142" s="76">
        <f>((D74*(1-'5.Closing Stock &amp; W Capital'!$D$15))+(C74*'5.Closing Stock &amp; W Capital'!$D$15))*$C$142*E$124</f>
        <v>0</v>
      </c>
      <c r="F142" s="76">
        <f>((E74*(1-'5.Closing Stock &amp; W Capital'!$D$15))+(D74*'5.Closing Stock &amp; W Capital'!$D$15))*$C$142*F$124</f>
        <v>0</v>
      </c>
      <c r="G142" s="76">
        <f>((F74*(1-'5.Closing Stock &amp; W Capital'!$D$15))+(E74*'5.Closing Stock &amp; W Capital'!$D$15))*$C$142*G$124</f>
        <v>0</v>
      </c>
      <c r="H142" s="76">
        <f>((G74*(1-'5.Closing Stock &amp; W Capital'!$D$15))+(F74*'5.Closing Stock &amp; W Capital'!$D$15))*$C$142*H$124</f>
        <v>0</v>
      </c>
      <c r="I142" s="76">
        <f>((H74*(1-'5.Closing Stock &amp; W Capital'!$D$15))+(G74*'5.Closing Stock &amp; W Capital'!$D$15))*$C$142*I$124</f>
        <v>0</v>
      </c>
      <c r="J142" s="76">
        <f>((I74*(1-'5.Closing Stock &amp; W Capital'!$D$15))+(H74*'5.Closing Stock &amp; W Capital'!$D$15))*$C$142*J$124</f>
        <v>0</v>
      </c>
      <c r="K142" s="69"/>
      <c r="U142" s="69"/>
      <c r="V142" s="69"/>
      <c r="W142" s="69"/>
    </row>
    <row r="143" spans="1:23" ht="15.75" customHeight="1" x14ac:dyDescent="0.25">
      <c r="A143" s="74" t="str">
        <f t="shared" si="54"/>
        <v>Safflower</v>
      </c>
      <c r="B143" s="74"/>
      <c r="C143" s="75"/>
      <c r="D143" s="76">
        <f>(C75*(1-'5.Closing Stock &amp; W Capital'!$D$15))*$C$143*D$124</f>
        <v>0</v>
      </c>
      <c r="E143" s="76">
        <f>((D75*(1-'5.Closing Stock &amp; W Capital'!$D$15))+(C75*'5.Closing Stock &amp; W Capital'!$D$15))*$C$143*E$124</f>
        <v>0</v>
      </c>
      <c r="F143" s="76">
        <f>((E75*(1-'5.Closing Stock &amp; W Capital'!$D$15))+(D75*'5.Closing Stock &amp; W Capital'!$D$15))*$C$143*F$124</f>
        <v>0</v>
      </c>
      <c r="G143" s="76">
        <f>((F75*(1-'5.Closing Stock &amp; W Capital'!$D$15))+(E75*'5.Closing Stock &amp; W Capital'!$D$15))*$C$143*G$124</f>
        <v>0</v>
      </c>
      <c r="H143" s="76">
        <f>((G75*(1-'5.Closing Stock &amp; W Capital'!$D$15))+(F75*'5.Closing Stock &amp; W Capital'!$D$15))*$C$143*H$124</f>
        <v>0</v>
      </c>
      <c r="I143" s="76">
        <f>((H75*(1-'5.Closing Stock &amp; W Capital'!$D$15))+(G75*'5.Closing Stock &amp; W Capital'!$D$15))*$C$143*I$124</f>
        <v>0</v>
      </c>
      <c r="J143" s="76">
        <f>((I75*(1-'5.Closing Stock &amp; W Capital'!$D$15))+(H75*'5.Closing Stock &amp; W Capital'!$D$15))*$C$143*J$124</f>
        <v>0</v>
      </c>
      <c r="K143" s="69"/>
      <c r="U143" s="69"/>
      <c r="V143" s="69"/>
      <c r="W143" s="69"/>
    </row>
    <row r="144" spans="1:23" ht="15.75" customHeight="1" x14ac:dyDescent="0.25">
      <c r="A144" s="74">
        <f t="shared" si="54"/>
        <v>0</v>
      </c>
      <c r="B144" s="74"/>
      <c r="C144" s="75"/>
      <c r="D144" s="76">
        <f>(C76*(1-'5.Closing Stock &amp; W Capital'!$D$15))*$C$144*D$124</f>
        <v>0</v>
      </c>
      <c r="E144" s="76">
        <f>((D76*(1-'5.Closing Stock &amp; W Capital'!$D$15))+(C76*'5.Closing Stock &amp; W Capital'!$D$15))*$C$144*E$124</f>
        <v>0</v>
      </c>
      <c r="F144" s="76">
        <f>((E76*(1-'5.Closing Stock &amp; W Capital'!$D$15))+(D76*'5.Closing Stock &amp; W Capital'!$D$15))*$C$144*F$124</f>
        <v>0</v>
      </c>
      <c r="G144" s="76">
        <f>((F76*(1-'5.Closing Stock &amp; W Capital'!$D$15))+(E76*'5.Closing Stock &amp; W Capital'!$D$15))*$C$144*G$124</f>
        <v>0</v>
      </c>
      <c r="H144" s="76">
        <f>((G76*(1-'5.Closing Stock &amp; W Capital'!$D$15))+(F76*'5.Closing Stock &amp; W Capital'!$D$15))*$C$144*H$124</f>
        <v>0</v>
      </c>
      <c r="I144" s="76">
        <f>((H76*(1-'5.Closing Stock &amp; W Capital'!$D$15))+(G76*'5.Closing Stock &amp; W Capital'!$D$15))*$C$144*I$124</f>
        <v>0</v>
      </c>
      <c r="J144" s="76">
        <f>((I76*(1-'5.Closing Stock &amp; W Capital'!$D$15))+(H76*'5.Closing Stock &amp; W Capital'!$D$15))*$C$144*J$124</f>
        <v>0</v>
      </c>
      <c r="K144" s="69"/>
      <c r="U144" s="69"/>
      <c r="V144" s="69"/>
      <c r="W144" s="69"/>
    </row>
    <row r="145" spans="1:23" ht="15.75" customHeight="1" x14ac:dyDescent="0.25">
      <c r="A145" s="74">
        <f t="shared" si="54"/>
        <v>0</v>
      </c>
      <c r="B145" s="74"/>
      <c r="C145" s="75"/>
      <c r="D145" s="76">
        <f>(C77*(1-'5.Closing Stock &amp; W Capital'!$D$15))*$C$145*D$124</f>
        <v>0</v>
      </c>
      <c r="E145" s="76">
        <f>((D77*(1-'5.Closing Stock &amp; W Capital'!$D$15))+(C77*'5.Closing Stock &amp; W Capital'!$D$15))*$C$145*E$124</f>
        <v>0</v>
      </c>
      <c r="F145" s="76">
        <f>((E77*(1-'5.Closing Stock &amp; W Capital'!$D$15))+(D77*'5.Closing Stock &amp; W Capital'!$D$15))*$C$145*F$124</f>
        <v>0</v>
      </c>
      <c r="G145" s="76">
        <f>((F77*(1-'5.Closing Stock &amp; W Capital'!$D$15))+(E77*'5.Closing Stock &amp; W Capital'!$D$15))*$C$145*G$124</f>
        <v>0</v>
      </c>
      <c r="H145" s="76">
        <f>((G77*(1-'5.Closing Stock &amp; W Capital'!$D$15))+(F77*'5.Closing Stock &amp; W Capital'!$D$15))*$C$145*H$124</f>
        <v>0</v>
      </c>
      <c r="I145" s="76">
        <f>((H77*(1-'5.Closing Stock &amp; W Capital'!$D$15))+(G77*'5.Closing Stock &amp; W Capital'!$D$15))*$C$145*I$124</f>
        <v>0</v>
      </c>
      <c r="J145" s="76">
        <f>((I77*(1-'5.Closing Stock &amp; W Capital'!$D$15))+(H77*'5.Closing Stock &amp; W Capital'!$D$15))*$C$145*J$124</f>
        <v>0</v>
      </c>
      <c r="K145" s="69"/>
      <c r="U145" s="69"/>
      <c r="V145" s="69"/>
      <c r="W145" s="69"/>
    </row>
    <row r="146" spans="1:23" ht="15.75" customHeight="1" x14ac:dyDescent="0.25">
      <c r="A146" s="74">
        <f t="shared" si="54"/>
        <v>0</v>
      </c>
      <c r="B146" s="74"/>
      <c r="C146" s="75"/>
      <c r="D146" s="76">
        <f>(C78*(1-'5.Closing Stock &amp; W Capital'!$D$15))*$C$146*D$124</f>
        <v>0</v>
      </c>
      <c r="E146" s="76">
        <f>((D78*(1-'5.Closing Stock &amp; W Capital'!$D$15))+(C78*'5.Closing Stock &amp; W Capital'!$D$15))*$C$146*E$124</f>
        <v>0</v>
      </c>
      <c r="F146" s="76">
        <f>((E78*(1-'5.Closing Stock &amp; W Capital'!$D$15))+(D78*'5.Closing Stock &amp; W Capital'!$D$15))*$C$146*F$124</f>
        <v>0</v>
      </c>
      <c r="G146" s="76">
        <f>((F78*(1-'5.Closing Stock &amp; W Capital'!$D$15))+(E78*'5.Closing Stock &amp; W Capital'!$D$15))*$C$146*G$124</f>
        <v>0</v>
      </c>
      <c r="H146" s="76">
        <f>((G78*(1-'5.Closing Stock &amp; W Capital'!$D$15))+(F78*'5.Closing Stock &amp; W Capital'!$D$15))*$C$146*H$124</f>
        <v>0</v>
      </c>
      <c r="I146" s="76">
        <f>((H78*(1-'5.Closing Stock &amp; W Capital'!$D$15))+(G78*'5.Closing Stock &amp; W Capital'!$D$15))*$C$146*I$124</f>
        <v>0</v>
      </c>
      <c r="J146" s="76">
        <f>((I78*(1-'5.Closing Stock &amp; W Capital'!$D$15))+(H78*'5.Closing Stock &amp; W Capital'!$D$15))*$C$146*J$124</f>
        <v>0</v>
      </c>
      <c r="K146" s="69"/>
      <c r="U146" s="69"/>
      <c r="V146" s="69"/>
      <c r="W146" s="69"/>
    </row>
    <row r="147" spans="1:23" ht="15.75" customHeight="1" x14ac:dyDescent="0.25">
      <c r="A147" s="77" t="str">
        <f t="shared" si="54"/>
        <v>Summer</v>
      </c>
      <c r="B147" s="74"/>
      <c r="C147" s="75"/>
      <c r="D147" s="76"/>
      <c r="E147" s="76"/>
      <c r="F147" s="76"/>
      <c r="G147" s="76"/>
      <c r="H147" s="76"/>
      <c r="I147" s="76"/>
      <c r="J147" s="76"/>
      <c r="K147" s="69"/>
      <c r="U147" s="69"/>
      <c r="V147" s="69"/>
      <c r="W147" s="69"/>
    </row>
    <row r="148" spans="1:23" ht="15.75" customHeight="1" x14ac:dyDescent="0.25">
      <c r="A148" s="74" t="str">
        <f t="shared" si="54"/>
        <v>Turmeric</v>
      </c>
      <c r="B148" s="74"/>
      <c r="C148" s="75">
        <v>9000</v>
      </c>
      <c r="D148" s="76">
        <f>(C80*(1-'5.Closing Stock &amp; W Capital'!$D$15))*$C$148*D$124</f>
        <v>4189500</v>
      </c>
      <c r="E148" s="76">
        <f>((D80*(1-'5.Closing Stock &amp; W Capital'!$D$15))+(C80*'5.Closing Stock &amp; W Capital'!$D$15))*$C$148*E$124</f>
        <v>5730243.75</v>
      </c>
      <c r="F148" s="76">
        <f>((E80*(1-'5.Closing Stock &amp; W Capital'!$D$15))+(D80*'5.Closing Stock &amp; W Capital'!$D$15))*$C$148*F$124</f>
        <v>7232262.1875</v>
      </c>
      <c r="G148" s="76">
        <f>((F80*(1-'5.Closing Stock &amp; W Capital'!$D$15))+(E80*'5.Closing Stock &amp; W Capital'!$D$15))*$C$148*G$124</f>
        <v>8870156.8593750019</v>
      </c>
      <c r="H148" s="76">
        <f>((G80*(1-'5.Closing Stock &amp; W Capital'!$D$15))+(F80*'5.Closing Stock &amp; W Capital'!$D$15))*$C$148*H$124</f>
        <v>10653760.342968753</v>
      </c>
      <c r="I148" s="76">
        <f>((H80*(1-'5.Closing Stock &amp; W Capital'!$D$15))+(G80*'5.Closing Stock &amp; W Capital'!$D$15))*$C$148*I$124</f>
        <v>12593548.782773441</v>
      </c>
      <c r="J148" s="76">
        <f>((I80*(1-'5.Closing Stock &amp; W Capital'!$D$15))+(H80*'5.Closing Stock &amp; W Capital'!$D$15))*$C$148*J$124</f>
        <v>14700681.665701177</v>
      </c>
      <c r="K148" s="69"/>
      <c r="U148" s="69"/>
      <c r="V148" s="69"/>
      <c r="W148" s="69"/>
    </row>
    <row r="149" spans="1:23" ht="15.75" customHeight="1" x14ac:dyDescent="0.25">
      <c r="A149" s="74">
        <f t="shared" si="54"/>
        <v>0</v>
      </c>
      <c r="B149" s="74"/>
      <c r="C149" s="75"/>
      <c r="D149" s="76">
        <f>(C81*(1-'5.Closing Stock &amp; W Capital'!$D$15))*$C$149*D$124</f>
        <v>0</v>
      </c>
      <c r="E149" s="76">
        <f>((D81*(1-'5.Closing Stock &amp; W Capital'!$D$15))+(C81*'5.Closing Stock &amp; W Capital'!$D$15))*$C$149*E$124</f>
        <v>0</v>
      </c>
      <c r="F149" s="76">
        <f>((E81*(1-'5.Closing Stock &amp; W Capital'!$D$15))+(D81*'5.Closing Stock &amp; W Capital'!$D$15))*$C$149*F$124</f>
        <v>0</v>
      </c>
      <c r="G149" s="76">
        <f>((F81*(1-'5.Closing Stock &amp; W Capital'!$D$15))+(E81*'5.Closing Stock &amp; W Capital'!$D$15))*$C$149*G$124</f>
        <v>0</v>
      </c>
      <c r="H149" s="76">
        <f>((G81*(1-'5.Closing Stock &amp; W Capital'!$D$15))+(F81*'5.Closing Stock &amp; W Capital'!$D$15))*$C$149*H$124</f>
        <v>0</v>
      </c>
      <c r="I149" s="76">
        <f>((H81*(1-'5.Closing Stock &amp; W Capital'!$D$15))+(G81*'5.Closing Stock &amp; W Capital'!$D$15))*$C$149*I$124</f>
        <v>0</v>
      </c>
      <c r="J149" s="76">
        <f>((I81*(1-'5.Closing Stock &amp; W Capital'!$D$15))+(H81*'5.Closing Stock &amp; W Capital'!$D$15))*$C$149*J$124</f>
        <v>0</v>
      </c>
      <c r="K149" s="69"/>
      <c r="U149" s="69"/>
      <c r="V149" s="69"/>
      <c r="W149" s="69"/>
    </row>
    <row r="150" spans="1:23" ht="15.75" customHeight="1" x14ac:dyDescent="0.25">
      <c r="A150" s="74">
        <f t="shared" si="54"/>
        <v>0</v>
      </c>
      <c r="B150" s="74"/>
      <c r="C150" s="75"/>
      <c r="D150" s="76">
        <f>(C82*(1-'5.Closing Stock &amp; W Capital'!$D$15))*$C$150*D$124</f>
        <v>0</v>
      </c>
      <c r="E150" s="76">
        <f>((D82*(1-'5.Closing Stock &amp; W Capital'!$D$15))+(C82*'5.Closing Stock &amp; W Capital'!$D$15))*$C$150*E$124</f>
        <v>0</v>
      </c>
      <c r="F150" s="76">
        <f>((E82*(1-'5.Closing Stock &amp; W Capital'!$D$15))+(D82*'5.Closing Stock &amp; W Capital'!$D$15))*$C$150*F$124</f>
        <v>0</v>
      </c>
      <c r="G150" s="76">
        <f>((F82*(1-'5.Closing Stock &amp; W Capital'!$D$15))+(E82*'5.Closing Stock &amp; W Capital'!$D$15))*$C$150*G$124</f>
        <v>0</v>
      </c>
      <c r="H150" s="76">
        <f>((G82*(1-'5.Closing Stock &amp; W Capital'!$D$15))+(F82*'5.Closing Stock &amp; W Capital'!$D$15))*$C$150*H$124</f>
        <v>0</v>
      </c>
      <c r="I150" s="76">
        <f>((H82*(1-'5.Closing Stock &amp; W Capital'!$D$15))+(G82*'5.Closing Stock &amp; W Capital'!$D$15))*$C$150*I$124</f>
        <v>0</v>
      </c>
      <c r="J150" s="76">
        <f>((I82*(1-'5.Closing Stock &amp; W Capital'!$D$15))+(H82*'5.Closing Stock &amp; W Capital'!$D$15))*$C$150*J$124</f>
        <v>0</v>
      </c>
      <c r="K150" s="69"/>
      <c r="U150" s="69"/>
      <c r="V150" s="69"/>
      <c r="W150" s="69"/>
    </row>
    <row r="151" spans="1:23" ht="15.75" customHeight="1" x14ac:dyDescent="0.25">
      <c r="A151" s="74">
        <f t="shared" si="54"/>
        <v>0</v>
      </c>
      <c r="B151" s="74"/>
      <c r="C151" s="75"/>
      <c r="D151" s="76">
        <f>(C83*(1-'5.Closing Stock &amp; W Capital'!$D$15))*$C$151*D$124</f>
        <v>0</v>
      </c>
      <c r="E151" s="76">
        <f>((D83*(1-'5.Closing Stock &amp; W Capital'!$D$15))+(C83*'5.Closing Stock &amp; W Capital'!$D$15))*$C$151*E$124</f>
        <v>0</v>
      </c>
      <c r="F151" s="76">
        <f>((E83*(1-'5.Closing Stock &amp; W Capital'!$D$15))+(D83*'5.Closing Stock &amp; W Capital'!$D$15))*$C$151*F$124</f>
        <v>0</v>
      </c>
      <c r="G151" s="76">
        <f>((F83*(1-'5.Closing Stock &amp; W Capital'!$D$15))+(E83*'5.Closing Stock &amp; W Capital'!$D$15))*$C$151*G$124</f>
        <v>0</v>
      </c>
      <c r="H151" s="76">
        <f>((G83*(1-'5.Closing Stock &amp; W Capital'!$D$15))+(F83*'5.Closing Stock &amp; W Capital'!$D$15))*$C$151*H$124</f>
        <v>0</v>
      </c>
      <c r="I151" s="76">
        <f>((H83*(1-'5.Closing Stock &amp; W Capital'!$D$15))+(G83*'5.Closing Stock &amp; W Capital'!$D$15))*$C$151*I$124</f>
        <v>0</v>
      </c>
      <c r="J151" s="76">
        <f>((I83*(1-'5.Closing Stock &amp; W Capital'!$D$15))+(H83*'5.Closing Stock &amp; W Capital'!$D$15))*$C$151*J$124</f>
        <v>0</v>
      </c>
      <c r="K151" s="69"/>
      <c r="U151" s="69"/>
      <c r="V151" s="69"/>
      <c r="W151" s="69"/>
    </row>
    <row r="152" spans="1:23" ht="15.75" customHeight="1" x14ac:dyDescent="0.25">
      <c r="A152" s="74">
        <f t="shared" si="54"/>
        <v>0</v>
      </c>
      <c r="B152" s="74"/>
      <c r="C152" s="75"/>
      <c r="D152" s="76">
        <f>(C84*(1-'5.Closing Stock &amp; W Capital'!$D$15))*$C$152*D$124</f>
        <v>0</v>
      </c>
      <c r="E152" s="76">
        <f>((D84*(1-'5.Closing Stock &amp; W Capital'!$D$15))+(C84*'5.Closing Stock &amp; W Capital'!$D$15))*$C$152*E$124</f>
        <v>0</v>
      </c>
      <c r="F152" s="76">
        <f>((E84*(1-'5.Closing Stock &amp; W Capital'!$D$15))+(D84*'5.Closing Stock &amp; W Capital'!$D$15))*$C$152*F$124</f>
        <v>0</v>
      </c>
      <c r="G152" s="76">
        <f>((F84*(1-'5.Closing Stock &amp; W Capital'!$D$15))+(E84*'5.Closing Stock &amp; W Capital'!$D$15))*$C$152*G$124</f>
        <v>0</v>
      </c>
      <c r="H152" s="76">
        <f>((G84*(1-'5.Closing Stock &amp; W Capital'!$D$15))+(F84*'5.Closing Stock &amp; W Capital'!$D$15))*$C$152*H$124</f>
        <v>0</v>
      </c>
      <c r="I152" s="76">
        <f>((H84*(1-'5.Closing Stock &amp; W Capital'!$D$15))+(G84*'5.Closing Stock &amp; W Capital'!$D$15))*$C$152*I$124</f>
        <v>0</v>
      </c>
      <c r="J152" s="76">
        <f>((I84*(1-'5.Closing Stock &amp; W Capital'!$D$15))+(H84*'5.Closing Stock &amp; W Capital'!$D$15))*$C$152*J$124</f>
        <v>0</v>
      </c>
      <c r="K152" s="69"/>
      <c r="U152" s="69"/>
      <c r="V152" s="69"/>
      <c r="W152" s="69"/>
    </row>
    <row r="153" spans="1:23" ht="15.75" customHeight="1" x14ac:dyDescent="0.25">
      <c r="A153" s="74" t="str">
        <f t="shared" si="54"/>
        <v>Fruit  &amp; Vegetables Crop Production Details</v>
      </c>
      <c r="B153" s="74"/>
      <c r="C153" s="75"/>
      <c r="D153" s="76"/>
      <c r="E153" s="76"/>
      <c r="F153" s="76"/>
      <c r="G153" s="76"/>
      <c r="H153" s="76"/>
      <c r="I153" s="76"/>
      <c r="J153" s="76"/>
      <c r="K153" s="69"/>
      <c r="U153" s="69"/>
      <c r="V153" s="69"/>
      <c r="W153" s="69"/>
    </row>
    <row r="154" spans="1:23" ht="15.75" customHeight="1" x14ac:dyDescent="0.25">
      <c r="A154" s="74" t="str">
        <f t="shared" si="54"/>
        <v>Onion</v>
      </c>
      <c r="B154" s="74"/>
      <c r="C154" s="75"/>
      <c r="D154" s="76">
        <f>(C86*(1-'5.Closing Stock &amp; W Capital'!$D$15))*$C154*D$124</f>
        <v>0</v>
      </c>
      <c r="E154" s="76">
        <f>((D86*(1-'5.Closing Stock &amp; W Capital'!$D$15))+(C86*'5.Closing Stock &amp; W Capital'!$D$15))*$C154*E$124</f>
        <v>0</v>
      </c>
      <c r="F154" s="76">
        <f>((E86*(1-'5.Closing Stock &amp; W Capital'!$D$15))+(D86*'5.Closing Stock &amp; W Capital'!$D$15))*$C$152*F$124</f>
        <v>0</v>
      </c>
      <c r="G154" s="76">
        <f>((F86*(1-'5.Closing Stock &amp; W Capital'!$D$15))+(E86*'5.Closing Stock &amp; W Capital'!$D$15))*$C$152*G$124</f>
        <v>0</v>
      </c>
      <c r="H154" s="76">
        <f>((G86*(1-'5.Closing Stock &amp; W Capital'!$D$15))+(F86*'5.Closing Stock &amp; W Capital'!$D$15))*$C$152*H$124</f>
        <v>0</v>
      </c>
      <c r="I154" s="76">
        <f>((H86*(1-'5.Closing Stock &amp; W Capital'!$D$15))+(G86*'5.Closing Stock &amp; W Capital'!$D$15))*$C$152*I$124</f>
        <v>0</v>
      </c>
      <c r="J154" s="76">
        <f>((I86*(1-'5.Closing Stock &amp; W Capital'!$D$15))+(H86*'5.Closing Stock &amp; W Capital'!$D$15))*$C$152*J$124</f>
        <v>0</v>
      </c>
      <c r="K154" s="69"/>
      <c r="U154" s="69"/>
      <c r="V154" s="69"/>
      <c r="W154" s="69"/>
    </row>
    <row r="155" spans="1:23" ht="15.75" customHeight="1" x14ac:dyDescent="0.25">
      <c r="A155" s="74" t="str">
        <f t="shared" si="54"/>
        <v>Tomato</v>
      </c>
      <c r="B155" s="74"/>
      <c r="C155" s="75"/>
      <c r="D155" s="76">
        <f>(C87*(1-'5.Closing Stock &amp; W Capital'!$D$15))*$C155*D$124</f>
        <v>0</v>
      </c>
      <c r="E155" s="76">
        <f>((D87*(1-'5.Closing Stock &amp; W Capital'!$D$15))+(C87*'5.Closing Stock &amp; W Capital'!$D$15))*$C155*E$124</f>
        <v>0</v>
      </c>
      <c r="F155" s="76">
        <f>((E87*(1-'5.Closing Stock &amp; W Capital'!$D$15))+(D87*'5.Closing Stock &amp; W Capital'!$D$15))*$C$152*F$124</f>
        <v>0</v>
      </c>
      <c r="G155" s="76">
        <f>((F87*(1-'5.Closing Stock &amp; W Capital'!$D$15))+(E87*'5.Closing Stock &amp; W Capital'!$D$15))*$C$152*G$124</f>
        <v>0</v>
      </c>
      <c r="H155" s="76">
        <f>((G87*(1-'5.Closing Stock &amp; W Capital'!$D$15))+(F87*'5.Closing Stock &amp; W Capital'!$D$15))*$C$152*H$124</f>
        <v>0</v>
      </c>
      <c r="I155" s="76">
        <f>((H87*(1-'5.Closing Stock &amp; W Capital'!$D$15))+(G87*'5.Closing Stock &amp; W Capital'!$D$15))*$C$152*I$124</f>
        <v>0</v>
      </c>
      <c r="J155" s="76">
        <f>((I87*(1-'5.Closing Stock &amp; W Capital'!$D$15))+(H87*'5.Closing Stock &amp; W Capital'!$D$15))*$C$152*J$124</f>
        <v>0</v>
      </c>
      <c r="K155" s="69"/>
      <c r="U155" s="69"/>
      <c r="V155" s="69"/>
      <c r="W155" s="69"/>
    </row>
    <row r="156" spans="1:23" ht="15.75" customHeight="1" x14ac:dyDescent="0.25">
      <c r="A156" s="74" t="str">
        <f t="shared" si="54"/>
        <v>Okra</v>
      </c>
      <c r="B156" s="74"/>
      <c r="C156" s="75"/>
      <c r="D156" s="76">
        <f>(C88*(1-'5.Closing Stock &amp; W Capital'!$D$15))*$C156*D$124</f>
        <v>0</v>
      </c>
      <c r="E156" s="76">
        <f>((D88*(1-'5.Closing Stock &amp; W Capital'!$D$15))+(C88*'5.Closing Stock &amp; W Capital'!$D$15))*$C156*E$124</f>
        <v>0</v>
      </c>
      <c r="F156" s="76">
        <f>((E88*(1-'5.Closing Stock &amp; W Capital'!$D$15))+(D88*'5.Closing Stock &amp; W Capital'!$D$15))*$C$152*F$124</f>
        <v>0</v>
      </c>
      <c r="G156" s="76">
        <f>((F88*(1-'5.Closing Stock &amp; W Capital'!$D$15))+(E88*'5.Closing Stock &amp; W Capital'!$D$15))*$C$152*G$124</f>
        <v>0</v>
      </c>
      <c r="H156" s="76">
        <f>((G88*(1-'5.Closing Stock &amp; W Capital'!$D$15))+(F88*'5.Closing Stock &amp; W Capital'!$D$15))*$C$152*H$124</f>
        <v>0</v>
      </c>
      <c r="I156" s="76">
        <f>((H88*(1-'5.Closing Stock &amp; W Capital'!$D$15))+(G88*'5.Closing Stock &amp; W Capital'!$D$15))*$C$152*I$124</f>
        <v>0</v>
      </c>
      <c r="J156" s="76">
        <f>((I88*(1-'5.Closing Stock &amp; W Capital'!$D$15))+(H88*'5.Closing Stock &amp; W Capital'!$D$15))*$C$152*J$124</f>
        <v>0</v>
      </c>
      <c r="K156" s="69"/>
      <c r="U156" s="69"/>
      <c r="V156" s="69"/>
      <c r="W156" s="69"/>
    </row>
    <row r="157" spans="1:23" ht="15.75" customHeight="1" x14ac:dyDescent="0.25">
      <c r="A157" s="74" t="str">
        <f t="shared" si="54"/>
        <v>Chilli</v>
      </c>
      <c r="B157" s="74"/>
      <c r="C157" s="75"/>
      <c r="D157" s="76">
        <f>(C89*(1-'5.Closing Stock &amp; W Capital'!$D$15))*$C157*D$124</f>
        <v>0</v>
      </c>
      <c r="E157" s="76">
        <f>((D89*(1-'5.Closing Stock &amp; W Capital'!$D$15))+(C89*'5.Closing Stock &amp; W Capital'!$D$15))*$C157*E$124</f>
        <v>0</v>
      </c>
      <c r="F157" s="76">
        <f>((E89*(1-'5.Closing Stock &amp; W Capital'!$D$15))+(D89*'5.Closing Stock &amp; W Capital'!$D$15))*$C$152*F$124</f>
        <v>0</v>
      </c>
      <c r="G157" s="76">
        <f>((F89*(1-'5.Closing Stock &amp; W Capital'!$D$15))+(E89*'5.Closing Stock &amp; W Capital'!$D$15))*$C$152*G$124</f>
        <v>0</v>
      </c>
      <c r="H157" s="76">
        <f>((G89*(1-'5.Closing Stock &amp; W Capital'!$D$15))+(F89*'5.Closing Stock &amp; W Capital'!$D$15))*$C$152*H$124</f>
        <v>0</v>
      </c>
      <c r="I157" s="76">
        <f>((H89*(1-'5.Closing Stock &amp; W Capital'!$D$15))+(G89*'5.Closing Stock &amp; W Capital'!$D$15))*$C$152*I$124</f>
        <v>0</v>
      </c>
      <c r="J157" s="76">
        <f>((I89*(1-'5.Closing Stock &amp; W Capital'!$D$15))+(H89*'5.Closing Stock &amp; W Capital'!$D$15))*$C$152*J$124</f>
        <v>0</v>
      </c>
      <c r="K157" s="69"/>
      <c r="U157" s="69"/>
      <c r="V157" s="69"/>
      <c r="W157" s="69"/>
    </row>
    <row r="158" spans="1:23" ht="15.75" customHeight="1" x14ac:dyDescent="0.25">
      <c r="A158" s="74" t="str">
        <f t="shared" si="54"/>
        <v>Potato</v>
      </c>
      <c r="B158" s="74"/>
      <c r="C158" s="75"/>
      <c r="D158" s="76">
        <f>(C90*(1-'5.Closing Stock &amp; W Capital'!$D$15))*$C158*D$124</f>
        <v>0</v>
      </c>
      <c r="E158" s="76">
        <f>((D90*(1-'5.Closing Stock &amp; W Capital'!$D$15))+(C90*'5.Closing Stock &amp; W Capital'!$D$15))*$C158*E$124</f>
        <v>0</v>
      </c>
      <c r="F158" s="76">
        <f>((E90*(1-'5.Closing Stock &amp; W Capital'!$D$15))+(D90*'5.Closing Stock &amp; W Capital'!$D$15))*$C$152*F$124</f>
        <v>0</v>
      </c>
      <c r="G158" s="76">
        <f>((F90*(1-'5.Closing Stock &amp; W Capital'!$D$15))+(E90*'5.Closing Stock &amp; W Capital'!$D$15))*$C$152*G$124</f>
        <v>0</v>
      </c>
      <c r="H158" s="76">
        <f>((G90*(1-'5.Closing Stock &amp; W Capital'!$D$15))+(F90*'5.Closing Stock &amp; W Capital'!$D$15))*$C$152*H$124</f>
        <v>0</v>
      </c>
      <c r="I158" s="76">
        <f>((H90*(1-'5.Closing Stock &amp; W Capital'!$D$15))+(G90*'5.Closing Stock &amp; W Capital'!$D$15))*$C$152*I$124</f>
        <v>0</v>
      </c>
      <c r="J158" s="76">
        <f>((I90*(1-'5.Closing Stock &amp; W Capital'!$D$15))+(H90*'5.Closing Stock &amp; W Capital'!$D$15))*$C$152*J$124</f>
        <v>0</v>
      </c>
      <c r="K158" s="69"/>
      <c r="U158" s="69"/>
      <c r="V158" s="69"/>
      <c r="W158" s="69"/>
    </row>
    <row r="159" spans="1:23" ht="15.75" customHeight="1" x14ac:dyDescent="0.25">
      <c r="A159" s="74">
        <f t="shared" si="54"/>
        <v>0</v>
      </c>
      <c r="B159" s="74"/>
      <c r="C159" s="75"/>
      <c r="D159" s="76">
        <f>(C91*(1-'5.Closing Stock &amp; W Capital'!$D$15))*$C159*D$124</f>
        <v>0</v>
      </c>
      <c r="E159" s="76">
        <f>((D91*(1-'5.Closing Stock &amp; W Capital'!$D$15))+(C91*'5.Closing Stock &amp; W Capital'!$D$15))*$C159*E$124</f>
        <v>0</v>
      </c>
      <c r="F159" s="76">
        <f>((E91*(1-'5.Closing Stock &amp; W Capital'!$D$15))+(D91*'5.Closing Stock &amp; W Capital'!$D$15))*$C$152*F$124</f>
        <v>0</v>
      </c>
      <c r="G159" s="76">
        <f>((F91*(1-'5.Closing Stock &amp; W Capital'!$D$15))+(E91*'5.Closing Stock &amp; W Capital'!$D$15))*$C$152*G$124</f>
        <v>0</v>
      </c>
      <c r="H159" s="76">
        <f>((G91*(1-'5.Closing Stock &amp; W Capital'!$D$15))+(F91*'5.Closing Stock &amp; W Capital'!$D$15))*$C$152*H$124</f>
        <v>0</v>
      </c>
      <c r="I159" s="76">
        <f>((H91*(1-'5.Closing Stock &amp; W Capital'!$D$15))+(G91*'5.Closing Stock &amp; W Capital'!$D$15))*$C$152*I$124</f>
        <v>0</v>
      </c>
      <c r="J159" s="76">
        <f>((I91*(1-'5.Closing Stock &amp; W Capital'!$D$15))+(H91*'5.Closing Stock &amp; W Capital'!$D$15))*$C$152*J$124</f>
        <v>0</v>
      </c>
      <c r="K159" s="69"/>
      <c r="U159" s="69"/>
      <c r="V159" s="69"/>
      <c r="W159" s="69"/>
    </row>
    <row r="160" spans="1:23" ht="15.75" customHeight="1" x14ac:dyDescent="0.25">
      <c r="A160" s="74">
        <f t="shared" si="54"/>
        <v>0</v>
      </c>
      <c r="B160" s="74"/>
      <c r="C160" s="75"/>
      <c r="D160" s="76">
        <f>(C92*(1-'5.Closing Stock &amp; W Capital'!$D$15))*$C160*D$124</f>
        <v>0</v>
      </c>
      <c r="E160" s="76">
        <f>((D92*(1-'5.Closing Stock &amp; W Capital'!$D$15))+(C92*'5.Closing Stock &amp; W Capital'!$D$15))*$C160*E$124</f>
        <v>0</v>
      </c>
      <c r="F160" s="76">
        <f>((E92*(1-'5.Closing Stock &amp; W Capital'!$D$15))+(D92*'5.Closing Stock &amp; W Capital'!$D$15))*$C$152*F$124</f>
        <v>0</v>
      </c>
      <c r="G160" s="76">
        <f>((F92*(1-'5.Closing Stock &amp; W Capital'!$D$15))+(E92*'5.Closing Stock &amp; W Capital'!$D$15))*$C$152*G$124</f>
        <v>0</v>
      </c>
      <c r="H160" s="76">
        <f>((G92*(1-'5.Closing Stock &amp; W Capital'!$D$15))+(F92*'5.Closing Stock &amp; W Capital'!$D$15))*$C$152*H$124</f>
        <v>0</v>
      </c>
      <c r="I160" s="76">
        <f>((H92*(1-'5.Closing Stock &amp; W Capital'!$D$15))+(G92*'5.Closing Stock &amp; W Capital'!$D$15))*$C$152*I$124</f>
        <v>0</v>
      </c>
      <c r="J160" s="76">
        <f>((I92*(1-'5.Closing Stock &amp; W Capital'!$D$15))+(H92*'5.Closing Stock &amp; W Capital'!$D$15))*$C$152*J$124</f>
        <v>0</v>
      </c>
      <c r="K160" s="69"/>
      <c r="U160" s="69"/>
      <c r="V160" s="69"/>
      <c r="W160" s="69"/>
    </row>
    <row r="161" spans="1:23" ht="15.75" customHeight="1" x14ac:dyDescent="0.25">
      <c r="A161" s="74">
        <f t="shared" si="54"/>
        <v>0</v>
      </c>
      <c r="B161" s="74"/>
      <c r="C161" s="75"/>
      <c r="D161" s="76">
        <f>(C93*(1-'5.Closing Stock &amp; W Capital'!$D$15))*$C161*D$124</f>
        <v>0</v>
      </c>
      <c r="E161" s="76">
        <f>((D93*(1-'5.Closing Stock &amp; W Capital'!$D$15))+(C93*'5.Closing Stock &amp; W Capital'!$D$15))*$C161*E$124</f>
        <v>0</v>
      </c>
      <c r="F161" s="76">
        <f>((E93*(1-'5.Closing Stock &amp; W Capital'!$D$15))+(D93*'5.Closing Stock &amp; W Capital'!$D$15))*$C$152*F$124</f>
        <v>0</v>
      </c>
      <c r="G161" s="76">
        <f>((F93*(1-'5.Closing Stock &amp; W Capital'!$D$15))+(E93*'5.Closing Stock &amp; W Capital'!$D$15))*$C$152*G$124</f>
        <v>0</v>
      </c>
      <c r="H161" s="76">
        <f>((G93*(1-'5.Closing Stock &amp; W Capital'!$D$15))+(F93*'5.Closing Stock &amp; W Capital'!$D$15))*$C$152*H$124</f>
        <v>0</v>
      </c>
      <c r="I161" s="76">
        <f>((H93*(1-'5.Closing Stock &amp; W Capital'!$D$15))+(G93*'5.Closing Stock &amp; W Capital'!$D$15))*$C$152*I$124</f>
        <v>0</v>
      </c>
      <c r="J161" s="76">
        <f>((I93*(1-'5.Closing Stock &amp; W Capital'!$D$15))+(H93*'5.Closing Stock &amp; W Capital'!$D$15))*$C$152*J$124</f>
        <v>0</v>
      </c>
      <c r="K161" s="69"/>
      <c r="U161" s="69"/>
      <c r="V161" s="69"/>
      <c r="W161" s="69"/>
    </row>
    <row r="162" spans="1:23" ht="15.75" customHeight="1" x14ac:dyDescent="0.25">
      <c r="A162" s="74">
        <f t="shared" si="54"/>
        <v>0</v>
      </c>
      <c r="B162" s="74"/>
      <c r="C162" s="75"/>
      <c r="D162" s="76">
        <f>(C94*(1-'5.Closing Stock &amp; W Capital'!$D$15))*$C162*D$124</f>
        <v>0</v>
      </c>
      <c r="E162" s="76">
        <f>((D94*(1-'5.Closing Stock &amp; W Capital'!$D$15))+(C94*'5.Closing Stock &amp; W Capital'!$D$15))*$C162*E$124</f>
        <v>0</v>
      </c>
      <c r="F162" s="76">
        <f>((E94*(1-'5.Closing Stock &amp; W Capital'!$D$15))+(D94*'5.Closing Stock &amp; W Capital'!$D$15))*$C$152*F$124</f>
        <v>0</v>
      </c>
      <c r="G162" s="76">
        <f>((F94*(1-'5.Closing Stock &amp; W Capital'!$D$15))+(E94*'5.Closing Stock &amp; W Capital'!$D$15))*$C$152*G$124</f>
        <v>0</v>
      </c>
      <c r="H162" s="76">
        <f>((G94*(1-'5.Closing Stock &amp; W Capital'!$D$15))+(F94*'5.Closing Stock &amp; W Capital'!$D$15))*$C$152*H$124</f>
        <v>0</v>
      </c>
      <c r="I162" s="76">
        <f>((H94*(1-'5.Closing Stock &amp; W Capital'!$D$15))+(G94*'5.Closing Stock &amp; W Capital'!$D$15))*$C$152*I$124</f>
        <v>0</v>
      </c>
      <c r="J162" s="76">
        <f>((I94*(1-'5.Closing Stock &amp; W Capital'!$D$15))+(H94*'5.Closing Stock &amp; W Capital'!$D$15))*$C$152*J$124</f>
        <v>0</v>
      </c>
      <c r="K162" s="69"/>
      <c r="U162" s="69"/>
      <c r="V162" s="69"/>
      <c r="W162" s="69"/>
    </row>
    <row r="163" spans="1:23" ht="15.75" customHeight="1" x14ac:dyDescent="0.25">
      <c r="A163" s="74" t="str">
        <f t="shared" si="54"/>
        <v>Onion</v>
      </c>
      <c r="B163" s="74"/>
      <c r="C163" s="75"/>
      <c r="D163" s="76">
        <f>(C95*(1-'5.Closing Stock &amp; W Capital'!$D$15))*$C163*D$124</f>
        <v>0</v>
      </c>
      <c r="E163" s="76">
        <f>((D95*(1-'5.Closing Stock &amp; W Capital'!$D$15))+(C95*'5.Closing Stock &amp; W Capital'!$D$15))*$C163*E$124</f>
        <v>0</v>
      </c>
      <c r="F163" s="76">
        <f>((E95*(1-'5.Closing Stock &amp; W Capital'!$D$15))+(D95*'5.Closing Stock &amp; W Capital'!$D$15))*$C$152*F$124</f>
        <v>0</v>
      </c>
      <c r="G163" s="76">
        <f>((F95*(1-'5.Closing Stock &amp; W Capital'!$D$15))+(E95*'5.Closing Stock &amp; W Capital'!$D$15))*$C$152*G$124</f>
        <v>0</v>
      </c>
      <c r="H163" s="76">
        <f>((G95*(1-'5.Closing Stock &amp; W Capital'!$D$15))+(F95*'5.Closing Stock &amp; W Capital'!$D$15))*$C$152*H$124</f>
        <v>0</v>
      </c>
      <c r="I163" s="76">
        <f>((H95*(1-'5.Closing Stock &amp; W Capital'!$D$15))+(G95*'5.Closing Stock &amp; W Capital'!$D$15))*$C$152*I$124</f>
        <v>0</v>
      </c>
      <c r="J163" s="76">
        <f>((I95*(1-'5.Closing Stock &amp; W Capital'!$D$15))+(H95*'5.Closing Stock &amp; W Capital'!$D$15))*$C$152*J$124</f>
        <v>0</v>
      </c>
      <c r="K163" s="69"/>
      <c r="U163" s="69"/>
      <c r="V163" s="69"/>
      <c r="W163" s="69"/>
    </row>
    <row r="164" spans="1:23" ht="15.75" customHeight="1" x14ac:dyDescent="0.25">
      <c r="A164" s="74" t="str">
        <f t="shared" si="54"/>
        <v>Tomato</v>
      </c>
      <c r="B164" s="74"/>
      <c r="C164" s="75"/>
      <c r="D164" s="76">
        <f>(C96*(1-'5.Closing Stock &amp; W Capital'!$D$15))*$C164*D$124</f>
        <v>0</v>
      </c>
      <c r="E164" s="76">
        <f>((D96*(1-'5.Closing Stock &amp; W Capital'!$D$15))+(C96*'5.Closing Stock &amp; W Capital'!$D$15))*$C164*E$124</f>
        <v>0</v>
      </c>
      <c r="F164" s="76">
        <f>((E96*(1-'5.Closing Stock &amp; W Capital'!$D$15))+(D96*'5.Closing Stock &amp; W Capital'!$D$15))*$C$152*F$124</f>
        <v>0</v>
      </c>
      <c r="G164" s="76">
        <f>((F96*(1-'5.Closing Stock &amp; W Capital'!$D$15))+(E96*'5.Closing Stock &amp; W Capital'!$D$15))*$C$152*G$124</f>
        <v>0</v>
      </c>
      <c r="H164" s="76">
        <f>((G96*(1-'5.Closing Stock &amp; W Capital'!$D$15))+(F96*'5.Closing Stock &amp; W Capital'!$D$15))*$C$152*H$124</f>
        <v>0</v>
      </c>
      <c r="I164" s="76">
        <f>((H96*(1-'5.Closing Stock &amp; W Capital'!$D$15))+(G96*'5.Closing Stock &amp; W Capital'!$D$15))*$C$152*I$124</f>
        <v>0</v>
      </c>
      <c r="J164" s="76">
        <f>((I96*(1-'5.Closing Stock &amp; W Capital'!$D$15))+(H96*'5.Closing Stock &amp; W Capital'!$D$15))*$C$152*J$124</f>
        <v>0</v>
      </c>
      <c r="K164" s="69"/>
      <c r="U164" s="69"/>
      <c r="V164" s="69"/>
      <c r="W164" s="69"/>
    </row>
    <row r="165" spans="1:23" ht="15.75" customHeight="1" x14ac:dyDescent="0.25">
      <c r="A165" s="74" t="str">
        <f t="shared" si="54"/>
        <v>Okra</v>
      </c>
      <c r="B165" s="74"/>
      <c r="C165" s="75"/>
      <c r="D165" s="76">
        <f>(C97*(1-'5.Closing Stock &amp; W Capital'!$D$15))*$C165*D$124</f>
        <v>0</v>
      </c>
      <c r="E165" s="76">
        <f>((D97*(1-'5.Closing Stock &amp; W Capital'!$D$15))+(C97*'5.Closing Stock &amp; W Capital'!$D$15))*$C165*E$124</f>
        <v>0</v>
      </c>
      <c r="F165" s="76">
        <f>((E97*(1-'5.Closing Stock &amp; W Capital'!$D$15))+(D97*'5.Closing Stock &amp; W Capital'!$D$15))*$C$152*F$124</f>
        <v>0</v>
      </c>
      <c r="G165" s="76">
        <f>((F97*(1-'5.Closing Stock &amp; W Capital'!$D$15))+(E97*'5.Closing Stock &amp; W Capital'!$D$15))*$C$152*G$124</f>
        <v>0</v>
      </c>
      <c r="H165" s="76">
        <f>((G97*(1-'5.Closing Stock &amp; W Capital'!$D$15))+(F97*'5.Closing Stock &amp; W Capital'!$D$15))*$C$152*H$124</f>
        <v>0</v>
      </c>
      <c r="I165" s="76">
        <f>((H97*(1-'5.Closing Stock &amp; W Capital'!$D$15))+(G97*'5.Closing Stock &amp; W Capital'!$D$15))*$C$152*I$124</f>
        <v>0</v>
      </c>
      <c r="J165" s="76">
        <f>((I97*(1-'5.Closing Stock &amp; W Capital'!$D$15))+(H97*'5.Closing Stock &amp; W Capital'!$D$15))*$C$152*J$124</f>
        <v>0</v>
      </c>
      <c r="K165" s="69"/>
      <c r="U165" s="69"/>
      <c r="V165" s="69"/>
      <c r="W165" s="69"/>
    </row>
    <row r="166" spans="1:23" ht="15.75" customHeight="1" x14ac:dyDescent="0.25">
      <c r="A166" s="74" t="str">
        <f t="shared" si="54"/>
        <v>Chilli</v>
      </c>
      <c r="B166" s="74"/>
      <c r="C166" s="75"/>
      <c r="D166" s="76">
        <f>(C98*(1-'5.Closing Stock &amp; W Capital'!$D$15))*$C166*D$124</f>
        <v>0</v>
      </c>
      <c r="E166" s="76">
        <f>((D98*(1-'5.Closing Stock &amp; W Capital'!$D$15))+(C98*'5.Closing Stock &amp; W Capital'!$D$15))*$C166*E$124</f>
        <v>0</v>
      </c>
      <c r="F166" s="76">
        <f>((E98*(1-'5.Closing Stock &amp; W Capital'!$D$15))+(D98*'5.Closing Stock &amp; W Capital'!$D$15))*$C$152*F$124</f>
        <v>0</v>
      </c>
      <c r="G166" s="76">
        <f>((F98*(1-'5.Closing Stock &amp; W Capital'!$D$15))+(E98*'5.Closing Stock &amp; W Capital'!$D$15))*$C$152*G$124</f>
        <v>0</v>
      </c>
      <c r="H166" s="76">
        <f>((G98*(1-'5.Closing Stock &amp; W Capital'!$D$15))+(F98*'5.Closing Stock &amp; W Capital'!$D$15))*$C$152*H$124</f>
        <v>0</v>
      </c>
      <c r="I166" s="76">
        <f>((H98*(1-'5.Closing Stock &amp; W Capital'!$D$15))+(G98*'5.Closing Stock &amp; W Capital'!$D$15))*$C$152*I$124</f>
        <v>0</v>
      </c>
      <c r="J166" s="76">
        <f>((I98*(1-'5.Closing Stock &amp; W Capital'!$D$15))+(H98*'5.Closing Stock &amp; W Capital'!$D$15))*$C$152*J$124</f>
        <v>0</v>
      </c>
      <c r="K166" s="69"/>
      <c r="U166" s="69"/>
      <c r="V166" s="69"/>
      <c r="W166" s="69"/>
    </row>
    <row r="167" spans="1:23" ht="15.75" customHeight="1" x14ac:dyDescent="0.25">
      <c r="A167" s="74" t="str">
        <f t="shared" si="54"/>
        <v>Brinjal</v>
      </c>
      <c r="B167" s="74"/>
      <c r="C167" s="75"/>
      <c r="D167" s="76">
        <f>(C99*(1-'5.Closing Stock &amp; W Capital'!$D$15))*$C167*D$124</f>
        <v>0</v>
      </c>
      <c r="E167" s="76">
        <f>((D99*(1-'5.Closing Stock &amp; W Capital'!$D$15))+(C99*'5.Closing Stock &amp; W Capital'!$D$15))*$C167*E$124</f>
        <v>0</v>
      </c>
      <c r="F167" s="76">
        <f>((E99*(1-'5.Closing Stock &amp; W Capital'!$D$15))+(D99*'5.Closing Stock &amp; W Capital'!$D$15))*$C$152*F$124</f>
        <v>0</v>
      </c>
      <c r="G167" s="76">
        <f>((F99*(1-'5.Closing Stock &amp; W Capital'!$D$15))+(E99*'5.Closing Stock &amp; W Capital'!$D$15))*$C$152*G$124</f>
        <v>0</v>
      </c>
      <c r="H167" s="76">
        <f>((G99*(1-'5.Closing Stock &amp; W Capital'!$D$15))+(F99*'5.Closing Stock &amp; W Capital'!$D$15))*$C$152*H$124</f>
        <v>0</v>
      </c>
      <c r="I167" s="76">
        <f>((H99*(1-'5.Closing Stock &amp; W Capital'!$D$15))+(G99*'5.Closing Stock &amp; W Capital'!$D$15))*$C$152*I$124</f>
        <v>0</v>
      </c>
      <c r="J167" s="76">
        <f>((I99*(1-'5.Closing Stock &amp; W Capital'!$D$15))+(H99*'5.Closing Stock &amp; W Capital'!$D$15))*$C$152*J$124</f>
        <v>0</v>
      </c>
      <c r="K167" s="69"/>
      <c r="U167" s="69"/>
      <c r="V167" s="69"/>
      <c r="W167" s="69"/>
    </row>
    <row r="168" spans="1:23" ht="15.75" customHeight="1" x14ac:dyDescent="0.25">
      <c r="A168" s="74">
        <f t="shared" si="54"/>
        <v>0</v>
      </c>
      <c r="B168" s="74"/>
      <c r="C168" s="75"/>
      <c r="D168" s="76">
        <f>(C100*(1-'5.Closing Stock &amp; W Capital'!$D$15))*$C168*D$124</f>
        <v>0</v>
      </c>
      <c r="E168" s="76">
        <f>((D100*(1-'5.Closing Stock &amp; W Capital'!$D$15))+(C100*'5.Closing Stock &amp; W Capital'!$D$15))*$C168*E$124</f>
        <v>0</v>
      </c>
      <c r="F168" s="76">
        <f>((E100*(1-'5.Closing Stock &amp; W Capital'!$D$15))+(D100*'5.Closing Stock &amp; W Capital'!$D$15))*$C$152*F$124</f>
        <v>0</v>
      </c>
      <c r="G168" s="76">
        <f>((F100*(1-'5.Closing Stock &amp; W Capital'!$D$15))+(E100*'5.Closing Stock &amp; W Capital'!$D$15))*$C$152*G$124</f>
        <v>0</v>
      </c>
      <c r="H168" s="76">
        <f>((G100*(1-'5.Closing Stock &amp; W Capital'!$D$15))+(F100*'5.Closing Stock &amp; W Capital'!$D$15))*$C$152*H$124</f>
        <v>0</v>
      </c>
      <c r="I168" s="76">
        <f>((H100*(1-'5.Closing Stock &amp; W Capital'!$D$15))+(G100*'5.Closing Stock &amp; W Capital'!$D$15))*$C$152*I$124</f>
        <v>0</v>
      </c>
      <c r="J168" s="76">
        <f>((I100*(1-'5.Closing Stock &amp; W Capital'!$D$15))+(H100*'5.Closing Stock &amp; W Capital'!$D$15))*$C$152*J$124</f>
        <v>0</v>
      </c>
      <c r="K168" s="69"/>
      <c r="U168" s="69"/>
      <c r="V168" s="69"/>
      <c r="W168" s="69"/>
    </row>
    <row r="169" spans="1:23" ht="15.75" customHeight="1" x14ac:dyDescent="0.25">
      <c r="A169" s="74">
        <f t="shared" si="54"/>
        <v>0</v>
      </c>
      <c r="B169" s="74"/>
      <c r="C169" s="75"/>
      <c r="D169" s="76">
        <f>(C101*(1-'5.Closing Stock &amp; W Capital'!$D$15))*$C169*D$124</f>
        <v>0</v>
      </c>
      <c r="E169" s="76">
        <f>((D101*(1-'5.Closing Stock &amp; W Capital'!$D$15))+(C101*'5.Closing Stock &amp; W Capital'!$D$15))*$C169*E$124</f>
        <v>0</v>
      </c>
      <c r="F169" s="76">
        <f>((E101*(1-'5.Closing Stock &amp; W Capital'!$D$15))+(D101*'5.Closing Stock &amp; W Capital'!$D$15))*$C$152*F$124</f>
        <v>0</v>
      </c>
      <c r="G169" s="76">
        <f>((F101*(1-'5.Closing Stock &amp; W Capital'!$D$15))+(E101*'5.Closing Stock &amp; W Capital'!$D$15))*$C$152*G$124</f>
        <v>0</v>
      </c>
      <c r="H169" s="76">
        <f>((G101*(1-'5.Closing Stock &amp; W Capital'!$D$15))+(F101*'5.Closing Stock &amp; W Capital'!$D$15))*$C$152*H$124</f>
        <v>0</v>
      </c>
      <c r="I169" s="76">
        <f>((H101*(1-'5.Closing Stock &amp; W Capital'!$D$15))+(G101*'5.Closing Stock &amp; W Capital'!$D$15))*$C$152*I$124</f>
        <v>0</v>
      </c>
      <c r="J169" s="76">
        <f>((I101*(1-'5.Closing Stock &amp; W Capital'!$D$15))+(H101*'5.Closing Stock &amp; W Capital'!$D$15))*$C$152*J$124</f>
        <v>0</v>
      </c>
      <c r="K169" s="69"/>
      <c r="U169" s="69"/>
      <c r="V169" s="69"/>
      <c r="W169" s="69"/>
    </row>
    <row r="170" spans="1:23" ht="15.75" customHeight="1" x14ac:dyDescent="0.25">
      <c r="A170" s="74">
        <f t="shared" si="54"/>
        <v>0</v>
      </c>
      <c r="B170" s="74"/>
      <c r="C170" s="75"/>
      <c r="D170" s="76">
        <f>(C102*(1-'5.Closing Stock &amp; W Capital'!$D$15))*$C170*D$124</f>
        <v>0</v>
      </c>
      <c r="E170" s="76">
        <f>((D102*(1-'5.Closing Stock &amp; W Capital'!$D$15))+(C102*'5.Closing Stock &amp; W Capital'!$D$15))*$C170*E$124</f>
        <v>0</v>
      </c>
      <c r="F170" s="76">
        <f>((E102*(1-'5.Closing Stock &amp; W Capital'!$D$15))+(D102*'5.Closing Stock &amp; W Capital'!$D$15))*$C$152*F$124</f>
        <v>0</v>
      </c>
      <c r="G170" s="76">
        <f>((F102*(1-'5.Closing Stock &amp; W Capital'!$D$15))+(E102*'5.Closing Stock &amp; W Capital'!$D$15))*$C$152*G$124</f>
        <v>0</v>
      </c>
      <c r="H170" s="76">
        <f>((G102*(1-'5.Closing Stock &amp; W Capital'!$D$15))+(F102*'5.Closing Stock &amp; W Capital'!$D$15))*$C$152*H$124</f>
        <v>0</v>
      </c>
      <c r="I170" s="76">
        <f>((H102*(1-'5.Closing Stock &amp; W Capital'!$D$15))+(G102*'5.Closing Stock &amp; W Capital'!$D$15))*$C$152*I$124</f>
        <v>0</v>
      </c>
      <c r="J170" s="76">
        <f>((I102*(1-'5.Closing Stock &amp; W Capital'!$D$15))+(H102*'5.Closing Stock &amp; W Capital'!$D$15))*$C$152*J$124</f>
        <v>0</v>
      </c>
      <c r="K170" s="69"/>
      <c r="U170" s="69"/>
      <c r="V170" s="69"/>
      <c r="W170" s="69"/>
    </row>
    <row r="171" spans="1:23" ht="15.75" customHeight="1" x14ac:dyDescent="0.25">
      <c r="A171" s="74">
        <f t="shared" si="54"/>
        <v>0</v>
      </c>
      <c r="B171" s="74"/>
      <c r="C171" s="75"/>
      <c r="D171" s="76">
        <f>(C103*(1-'5.Closing Stock &amp; W Capital'!$D$15))*$C171*D$124</f>
        <v>0</v>
      </c>
      <c r="E171" s="76">
        <f>((D103*(1-'5.Closing Stock &amp; W Capital'!$D$15))+(C103*'5.Closing Stock &amp; W Capital'!$D$15))*$C171*E$124</f>
        <v>0</v>
      </c>
      <c r="F171" s="76">
        <f>((E103*(1-'5.Closing Stock &amp; W Capital'!$D$15))+(D103*'5.Closing Stock &amp; W Capital'!$D$15))*$C$152*F$124</f>
        <v>0</v>
      </c>
      <c r="G171" s="76">
        <f>((F103*(1-'5.Closing Stock &amp; W Capital'!$D$15))+(E103*'5.Closing Stock &amp; W Capital'!$D$15))*$C$152*G$124</f>
        <v>0</v>
      </c>
      <c r="H171" s="76">
        <f>((G103*(1-'5.Closing Stock &amp; W Capital'!$D$15))+(F103*'5.Closing Stock &amp; W Capital'!$D$15))*$C$152*H$124</f>
        <v>0</v>
      </c>
      <c r="I171" s="76">
        <f>((H103*(1-'5.Closing Stock &amp; W Capital'!$D$15))+(G103*'5.Closing Stock &amp; W Capital'!$D$15))*$C$152*I$124</f>
        <v>0</v>
      </c>
      <c r="J171" s="76">
        <f>((I103*(1-'5.Closing Stock &amp; W Capital'!$D$15))+(H103*'5.Closing Stock &amp; W Capital'!$D$15))*$C$152*J$124</f>
        <v>0</v>
      </c>
      <c r="K171" s="69"/>
      <c r="U171" s="69"/>
      <c r="V171" s="69"/>
      <c r="W171" s="69"/>
    </row>
    <row r="172" spans="1:23" ht="15.75" customHeight="1" x14ac:dyDescent="0.25">
      <c r="A172" s="74">
        <f t="shared" si="54"/>
        <v>0</v>
      </c>
      <c r="B172" s="74"/>
      <c r="C172" s="75"/>
      <c r="D172" s="76">
        <f>(C104*(1-'5.Closing Stock &amp; W Capital'!$D$15))*$C172*D$124</f>
        <v>0</v>
      </c>
      <c r="E172" s="76">
        <f>((D104*(1-'5.Closing Stock &amp; W Capital'!$D$15))+(C104*'5.Closing Stock &amp; W Capital'!$D$15))*$C172*E$124</f>
        <v>0</v>
      </c>
      <c r="F172" s="76">
        <f>((E104*(1-'5.Closing Stock &amp; W Capital'!$D$15))+(D104*'5.Closing Stock &amp; W Capital'!$D$15))*$C$152*F$124</f>
        <v>0</v>
      </c>
      <c r="G172" s="76">
        <f>((F104*(1-'5.Closing Stock &amp; W Capital'!$D$15))+(E104*'5.Closing Stock &amp; W Capital'!$D$15))*$C$152*G$124</f>
        <v>0</v>
      </c>
      <c r="H172" s="76">
        <f>((G104*(1-'5.Closing Stock &amp; W Capital'!$D$15))+(F104*'5.Closing Stock &amp; W Capital'!$D$15))*$C$152*H$124</f>
        <v>0</v>
      </c>
      <c r="I172" s="76">
        <f>((H104*(1-'5.Closing Stock &amp; W Capital'!$D$15))+(G104*'5.Closing Stock &amp; W Capital'!$D$15))*$C$152*I$124</f>
        <v>0</v>
      </c>
      <c r="J172" s="76">
        <f>((I104*(1-'5.Closing Stock &amp; W Capital'!$D$15))+(H104*'5.Closing Stock &amp; W Capital'!$D$15))*$C$152*J$124</f>
        <v>0</v>
      </c>
      <c r="K172" s="69"/>
      <c r="U172" s="69"/>
      <c r="V172" s="69"/>
      <c r="W172" s="69"/>
    </row>
    <row r="173" spans="1:23" ht="15.75" customHeight="1" x14ac:dyDescent="0.25">
      <c r="A173" s="74">
        <f t="shared" si="54"/>
        <v>0</v>
      </c>
      <c r="B173" s="74"/>
      <c r="C173" s="75"/>
      <c r="D173" s="76">
        <f>(C105*(1-'5.Closing Stock &amp; W Capital'!$D$15))*$C173*D$124</f>
        <v>0</v>
      </c>
      <c r="E173" s="76">
        <f>((D105*(1-'5.Closing Stock &amp; W Capital'!$D$15))+(C105*'5.Closing Stock &amp; W Capital'!$D$15))*$C173*E$124</f>
        <v>0</v>
      </c>
      <c r="F173" s="76">
        <f>((E105*(1-'5.Closing Stock &amp; W Capital'!$D$15))+(D105*'5.Closing Stock &amp; W Capital'!$D$15))*$C$152*F$124</f>
        <v>0</v>
      </c>
      <c r="G173" s="76">
        <f>((F105*(1-'5.Closing Stock &amp; W Capital'!$D$15))+(E105*'5.Closing Stock &amp; W Capital'!$D$15))*$C$152*G$124</f>
        <v>0</v>
      </c>
      <c r="H173" s="76">
        <f>((G105*(1-'5.Closing Stock &amp; W Capital'!$D$15))+(F105*'5.Closing Stock &amp; W Capital'!$D$15))*$C$152*H$124</f>
        <v>0</v>
      </c>
      <c r="I173" s="76">
        <f>((H105*(1-'5.Closing Stock &amp; W Capital'!$D$15))+(G105*'5.Closing Stock &amp; W Capital'!$D$15))*$C$152*I$124</f>
        <v>0</v>
      </c>
      <c r="J173" s="76">
        <f>((I105*(1-'5.Closing Stock &amp; W Capital'!$D$15))+(H105*'5.Closing Stock &amp; W Capital'!$D$15))*$C$152*J$124</f>
        <v>0</v>
      </c>
      <c r="K173" s="69"/>
      <c r="U173" s="69"/>
      <c r="V173" s="69"/>
      <c r="W173" s="69"/>
    </row>
    <row r="174" spans="1:23" ht="15.75" customHeight="1" x14ac:dyDescent="0.25">
      <c r="A174" s="74">
        <f t="shared" si="54"/>
        <v>0</v>
      </c>
      <c r="B174" s="74"/>
      <c r="C174" s="75"/>
      <c r="D174" s="76">
        <f>(C106*(1-'5.Closing Stock &amp; W Capital'!$D$15))*$C174*D$124</f>
        <v>0</v>
      </c>
      <c r="E174" s="76">
        <f>((D106*(1-'5.Closing Stock &amp; W Capital'!$D$15))+(C106*'5.Closing Stock &amp; W Capital'!$D$15))*$C174*E$124</f>
        <v>0</v>
      </c>
      <c r="F174" s="76">
        <f>((E106*(1-'5.Closing Stock &amp; W Capital'!$D$15))+(D106*'5.Closing Stock &amp; W Capital'!$D$15))*$C$152*F$124</f>
        <v>0</v>
      </c>
      <c r="G174" s="76">
        <f>((F106*(1-'5.Closing Stock &amp; W Capital'!$D$15))+(E106*'5.Closing Stock &amp; W Capital'!$D$15))*$C$152*G$124</f>
        <v>0</v>
      </c>
      <c r="H174" s="76">
        <f>((G106*(1-'5.Closing Stock &amp; W Capital'!$D$15))+(F106*'5.Closing Stock &amp; W Capital'!$D$15))*$C$152*H$124</f>
        <v>0</v>
      </c>
      <c r="I174" s="76">
        <f>((H106*(1-'5.Closing Stock &amp; W Capital'!$D$15))+(G106*'5.Closing Stock &amp; W Capital'!$D$15))*$C$152*I$124</f>
        <v>0</v>
      </c>
      <c r="J174" s="76">
        <f>((I106*(1-'5.Closing Stock &amp; W Capital'!$D$15))+(H106*'5.Closing Stock &amp; W Capital'!$D$15))*$C$152*J$124</f>
        <v>0</v>
      </c>
      <c r="K174" s="69"/>
      <c r="U174" s="69"/>
      <c r="V174" s="69"/>
      <c r="W174" s="69"/>
    </row>
    <row r="175" spans="1:23" ht="15.75" customHeight="1" x14ac:dyDescent="0.25">
      <c r="A175" s="74" t="str">
        <f t="shared" si="54"/>
        <v>Pomegranate</v>
      </c>
      <c r="B175" s="74"/>
      <c r="C175" s="75"/>
      <c r="D175" s="76">
        <f>(C107*(1-'5.Closing Stock &amp; W Capital'!$D$15))*$C175*D$124</f>
        <v>0</v>
      </c>
      <c r="E175" s="76">
        <f>((D107*(1-'5.Closing Stock &amp; W Capital'!$D$15))+(C107*'5.Closing Stock &amp; W Capital'!$D$15))*$C175*E$124</f>
        <v>0</v>
      </c>
      <c r="F175" s="76">
        <f>((E107*(1-'5.Closing Stock &amp; W Capital'!$D$15))+(D107*'5.Closing Stock &amp; W Capital'!$D$15))*$C$152*F$124</f>
        <v>0</v>
      </c>
      <c r="G175" s="76">
        <f>((F107*(1-'5.Closing Stock &amp; W Capital'!$D$15))+(E107*'5.Closing Stock &amp; W Capital'!$D$15))*$C$152*G$124</f>
        <v>0</v>
      </c>
      <c r="H175" s="76">
        <f>((G107*(1-'5.Closing Stock &amp; W Capital'!$D$15))+(F107*'5.Closing Stock &amp; W Capital'!$D$15))*$C$152*H$124</f>
        <v>0</v>
      </c>
      <c r="I175" s="76">
        <f>((H107*(1-'5.Closing Stock &amp; W Capital'!$D$15))+(G107*'5.Closing Stock &amp; W Capital'!$D$15))*$C$152*I$124</f>
        <v>0</v>
      </c>
      <c r="J175" s="76">
        <f>((I107*(1-'5.Closing Stock &amp; W Capital'!$D$15))+(H107*'5.Closing Stock &amp; W Capital'!$D$15))*$C$152*J$124</f>
        <v>0</v>
      </c>
      <c r="K175" s="69"/>
      <c r="U175" s="69"/>
      <c r="V175" s="69"/>
      <c r="W175" s="69"/>
    </row>
    <row r="176" spans="1:23" ht="15.75" customHeight="1" x14ac:dyDescent="0.25">
      <c r="A176" s="74" t="str">
        <f t="shared" si="54"/>
        <v>Custard Apple</v>
      </c>
      <c r="B176" s="74"/>
      <c r="C176" s="75"/>
      <c r="D176" s="76">
        <f>(C108*(1-'5.Closing Stock &amp; W Capital'!$D$15))*$C176*D$124</f>
        <v>0</v>
      </c>
      <c r="E176" s="76">
        <f>((D108*(1-'5.Closing Stock &amp; W Capital'!$D$15))+(C108*'5.Closing Stock &amp; W Capital'!$D$15))*$C176*E$124</f>
        <v>0</v>
      </c>
      <c r="F176" s="76">
        <f>((E108*(1-'5.Closing Stock &amp; W Capital'!$D$15))+(D108*'5.Closing Stock &amp; W Capital'!$D$15))*$C$152*F$124</f>
        <v>0</v>
      </c>
      <c r="G176" s="76">
        <f>((F108*(1-'5.Closing Stock &amp; W Capital'!$D$15))+(E108*'5.Closing Stock &amp; W Capital'!$D$15))*$C$152*G$124</f>
        <v>0</v>
      </c>
      <c r="H176" s="76">
        <f>((G108*(1-'5.Closing Stock &amp; W Capital'!$D$15))+(F108*'5.Closing Stock &amp; W Capital'!$D$15))*$C$152*H$124</f>
        <v>0</v>
      </c>
      <c r="I176" s="76">
        <f>((H108*(1-'5.Closing Stock &amp; W Capital'!$D$15))+(G108*'5.Closing Stock &amp; W Capital'!$D$15))*$C$152*I$124</f>
        <v>0</v>
      </c>
      <c r="J176" s="76">
        <f>((I108*(1-'5.Closing Stock &amp; W Capital'!$D$15))+(H108*'5.Closing Stock &amp; W Capital'!$D$15))*$C$152*J$124</f>
        <v>0</v>
      </c>
      <c r="K176" s="69"/>
      <c r="U176" s="69"/>
      <c r="V176" s="69"/>
      <c r="W176" s="69"/>
    </row>
    <row r="177" spans="1:23" ht="15.75" customHeight="1" x14ac:dyDescent="0.25">
      <c r="A177" s="74" t="str">
        <f t="shared" si="54"/>
        <v>Guava</v>
      </c>
      <c r="B177" s="74"/>
      <c r="C177" s="75"/>
      <c r="D177" s="76">
        <f>(C109*(1-'5.Closing Stock &amp; W Capital'!$D$15))*$C177*D$124</f>
        <v>0</v>
      </c>
      <c r="E177" s="76">
        <f>((D109*(1-'5.Closing Stock &amp; W Capital'!$D$15))+(C109*'5.Closing Stock &amp; W Capital'!$D$15))*$C177*E$124</f>
        <v>0</v>
      </c>
      <c r="F177" s="76">
        <f>((E109*(1-'5.Closing Stock &amp; W Capital'!$D$15))+(D109*'5.Closing Stock &amp; W Capital'!$D$15))*$C$152*F$124</f>
        <v>0</v>
      </c>
      <c r="G177" s="76">
        <f>((F109*(1-'5.Closing Stock &amp; W Capital'!$D$15))+(E109*'5.Closing Stock &amp; W Capital'!$D$15))*$C$152*G$124</f>
        <v>0</v>
      </c>
      <c r="H177" s="76">
        <f>((G109*(1-'5.Closing Stock &amp; W Capital'!$D$15))+(F109*'5.Closing Stock &amp; W Capital'!$D$15))*$C$152*H$124</f>
        <v>0</v>
      </c>
      <c r="I177" s="76">
        <f>((H109*(1-'5.Closing Stock &amp; W Capital'!$D$15))+(G109*'5.Closing Stock &amp; W Capital'!$D$15))*$C$152*I$124</f>
        <v>0</v>
      </c>
      <c r="J177" s="76">
        <f>((I109*(1-'5.Closing Stock &amp; W Capital'!$D$15))+(H109*'5.Closing Stock &amp; W Capital'!$D$15))*$C$152*J$124</f>
        <v>0</v>
      </c>
      <c r="K177" s="69"/>
      <c r="U177" s="69"/>
      <c r="V177" s="69"/>
      <c r="W177" s="69"/>
    </row>
    <row r="178" spans="1:23" ht="15.75" customHeight="1" x14ac:dyDescent="0.25">
      <c r="A178" s="74" t="str">
        <f t="shared" si="54"/>
        <v>Citrus</v>
      </c>
      <c r="B178" s="74"/>
      <c r="C178" s="75"/>
      <c r="D178" s="76">
        <f>(C110*(1-'5.Closing Stock &amp; W Capital'!$D$15))*$C178*D$124</f>
        <v>0</v>
      </c>
      <c r="E178" s="76">
        <f>((D110*(1-'5.Closing Stock &amp; W Capital'!$D$15))+(C110*'5.Closing Stock &amp; W Capital'!$D$15))*$C178*E$124</f>
        <v>0</v>
      </c>
      <c r="F178" s="76">
        <f>((E110*(1-'5.Closing Stock &amp; W Capital'!$D$15))+(D110*'5.Closing Stock &amp; W Capital'!$D$15))*$C$152*F$124</f>
        <v>0</v>
      </c>
      <c r="G178" s="76">
        <f>((F110*(1-'5.Closing Stock &amp; W Capital'!$D$15))+(E110*'5.Closing Stock &amp; W Capital'!$D$15))*$C$152*G$124</f>
        <v>0</v>
      </c>
      <c r="H178" s="76">
        <f>((G110*(1-'5.Closing Stock &amp; W Capital'!$D$15))+(F110*'5.Closing Stock &amp; W Capital'!$D$15))*$C$152*H$124</f>
        <v>0</v>
      </c>
      <c r="I178" s="76">
        <f>((H110*(1-'5.Closing Stock &amp; W Capital'!$D$15))+(G110*'5.Closing Stock &amp; W Capital'!$D$15))*$C$152*I$124</f>
        <v>0</v>
      </c>
      <c r="J178" s="76">
        <f>((I110*(1-'5.Closing Stock &amp; W Capital'!$D$15))+(H110*'5.Closing Stock &amp; W Capital'!$D$15))*$C$152*J$124</f>
        <v>0</v>
      </c>
      <c r="K178" s="69"/>
      <c r="U178" s="69"/>
      <c r="V178" s="69"/>
      <c r="W178" s="69"/>
    </row>
    <row r="179" spans="1:23" ht="15.75" customHeight="1" x14ac:dyDescent="0.25">
      <c r="A179" s="74">
        <f t="shared" si="54"/>
        <v>0</v>
      </c>
      <c r="B179" s="74"/>
      <c r="C179" s="75"/>
      <c r="D179" s="76"/>
      <c r="E179" s="76"/>
      <c r="F179" s="76"/>
      <c r="G179" s="76"/>
      <c r="H179" s="76"/>
      <c r="I179" s="76"/>
      <c r="J179" s="76"/>
      <c r="K179" s="69"/>
      <c r="U179" s="69"/>
      <c r="V179" s="69"/>
      <c r="W179" s="69"/>
    </row>
    <row r="180" spans="1:23" ht="15.75" customHeight="1" x14ac:dyDescent="0.25">
      <c r="A180" s="74"/>
      <c r="B180" s="74"/>
      <c r="C180" s="76"/>
      <c r="D180" s="76"/>
      <c r="E180" s="76"/>
      <c r="F180" s="76"/>
      <c r="G180" s="76"/>
      <c r="H180" s="76"/>
      <c r="I180" s="76"/>
      <c r="J180" s="76"/>
      <c r="K180" s="69"/>
      <c r="U180" s="69"/>
      <c r="V180" s="69"/>
      <c r="W180" s="69"/>
    </row>
    <row r="181" spans="1:23" ht="15.75" customHeight="1" x14ac:dyDescent="0.25">
      <c r="A181" s="74" t="s">
        <v>679</v>
      </c>
      <c r="B181" s="74"/>
      <c r="C181" s="76"/>
      <c r="D181" s="76"/>
      <c r="E181" s="76"/>
      <c r="F181" s="76"/>
      <c r="G181" s="76"/>
      <c r="H181" s="76"/>
      <c r="I181" s="76"/>
      <c r="J181" s="76"/>
      <c r="K181" s="69"/>
      <c r="U181" s="69"/>
      <c r="V181" s="69"/>
      <c r="W181" s="69"/>
    </row>
    <row r="182" spans="1:23" ht="15.75" customHeight="1" x14ac:dyDescent="0.25">
      <c r="A182" s="74" t="s">
        <v>671</v>
      </c>
      <c r="B182" s="74"/>
      <c r="C182" s="75"/>
      <c r="D182" s="76">
        <f>(C114*(1-'5.Closing Stock &amp; W Capital'!$D$15))*$C$182*D124</f>
        <v>0</v>
      </c>
      <c r="E182" s="76">
        <f>((D114*(1-'5.Closing Stock &amp; W Capital'!$D$15))+(C114*'5.Closing Stock &amp; W Capital'!$D$15))*$C$182*E124</f>
        <v>0</v>
      </c>
      <c r="F182" s="76">
        <f>((E114*(1-'5.Closing Stock &amp; W Capital'!$D$15))+(D114*'5.Closing Stock &amp; W Capital'!$D$15))*$C$182*F124</f>
        <v>0</v>
      </c>
      <c r="G182" s="76">
        <f>((F114*(1-'5.Closing Stock &amp; W Capital'!$D$15))+(E114*'5.Closing Stock &amp; W Capital'!$D$15))*$C$182*G124</f>
        <v>0</v>
      </c>
      <c r="H182" s="76">
        <f>((G114*(1-'5.Closing Stock &amp; W Capital'!$D$15))+(F114*'5.Closing Stock &amp; W Capital'!$D$15))*$C$182*H124</f>
        <v>0</v>
      </c>
      <c r="I182" s="76">
        <f>((H114*(1-'5.Closing Stock &amp; W Capital'!$D$15))+(G114*'5.Closing Stock &amp; W Capital'!$D$15))*$C$182*I124</f>
        <v>0</v>
      </c>
      <c r="J182" s="76">
        <f>((I114*(1-'5.Closing Stock &amp; W Capital'!$D$15))+(H114*'5.Closing Stock &amp; W Capital'!$D$15))*$C$182*J124</f>
        <v>0</v>
      </c>
      <c r="K182" s="69"/>
      <c r="U182" s="69"/>
      <c r="V182" s="69"/>
      <c r="W182" s="69"/>
    </row>
    <row r="183" spans="1:23" ht="15.75" customHeight="1" x14ac:dyDescent="0.25">
      <c r="A183" s="74" t="s">
        <v>672</v>
      </c>
      <c r="B183" s="74"/>
      <c r="C183" s="75"/>
      <c r="D183" s="76">
        <f>(C115*(1-'5.Closing Stock &amp; W Capital'!$D$15))*$C$183*D124</f>
        <v>0</v>
      </c>
      <c r="E183" s="76">
        <f>((D115*(1-'5.Closing Stock &amp; W Capital'!$D$15))+(C115*'5.Closing Stock &amp; W Capital'!$D$15))*$C$183*E124</f>
        <v>0</v>
      </c>
      <c r="F183" s="76">
        <f>((E115*(1-'5.Closing Stock &amp; W Capital'!$D$15))+(D115*'5.Closing Stock &amp; W Capital'!$D$15))*$C$183*F124</f>
        <v>0</v>
      </c>
      <c r="G183" s="76">
        <f>((F115*(1-'5.Closing Stock &amp; W Capital'!$D$15))+(E115*'5.Closing Stock &amp; W Capital'!$D$15))*$C$183*G124</f>
        <v>0</v>
      </c>
      <c r="H183" s="76">
        <f>((G115*(1-'5.Closing Stock &amp; W Capital'!$D$15))+(F115*'5.Closing Stock &amp; W Capital'!$D$15))*$C$183*H124</f>
        <v>0</v>
      </c>
      <c r="I183" s="76">
        <f>((H115*(1-'5.Closing Stock &amp; W Capital'!$D$15))+(G115*'5.Closing Stock &amp; W Capital'!$D$15))*$C$183*I124</f>
        <v>0</v>
      </c>
      <c r="J183" s="76">
        <f>((I115*(1-'5.Closing Stock &amp; W Capital'!$D$15))+(H115*'5.Closing Stock &amp; W Capital'!$D$15))*$C$183*J124</f>
        <v>0</v>
      </c>
      <c r="K183" s="69"/>
      <c r="U183" s="69"/>
      <c r="V183" s="69"/>
      <c r="W183" s="69"/>
    </row>
    <row r="184" spans="1:23" ht="15.75" customHeight="1" x14ac:dyDescent="0.25">
      <c r="A184" s="74" t="s">
        <v>673</v>
      </c>
      <c r="B184" s="74"/>
      <c r="C184" s="75"/>
      <c r="D184" s="76">
        <f>(C116*(1-'5.Closing Stock &amp; W Capital'!$D$15))*$C$184*D124</f>
        <v>0</v>
      </c>
      <c r="E184" s="76">
        <f>((D116*(1-'5.Closing Stock &amp; W Capital'!$D$15))+(C116*'5.Closing Stock &amp; W Capital'!$D$15))*$C$184*E124</f>
        <v>0</v>
      </c>
      <c r="F184" s="76">
        <f>((E116*(1-'5.Closing Stock &amp; W Capital'!$D$15))+(D116*'5.Closing Stock &amp; W Capital'!$D$15))*$C$184*F124</f>
        <v>0</v>
      </c>
      <c r="G184" s="76">
        <f>((F116*(1-'5.Closing Stock &amp; W Capital'!$D$15))+(E116*'5.Closing Stock &amp; W Capital'!$D$15))*$C$184*G124</f>
        <v>0</v>
      </c>
      <c r="H184" s="76">
        <f>((G116*(1-'5.Closing Stock &amp; W Capital'!$D$15))+(F116*'5.Closing Stock &amp; W Capital'!$D$15))*$C$184*H124</f>
        <v>0</v>
      </c>
      <c r="I184" s="76">
        <f>((H116*(1-'5.Closing Stock &amp; W Capital'!$D$15))+(G116*'5.Closing Stock &amp; W Capital'!$D$15))*$C$184*I124</f>
        <v>0</v>
      </c>
      <c r="J184" s="76">
        <f>((I116*(1-'5.Closing Stock &amp; W Capital'!$D$15))+(H116*'5.Closing Stock &amp; W Capital'!$D$15))*$C$184*J124</f>
        <v>0</v>
      </c>
      <c r="K184" s="69"/>
      <c r="U184" s="69"/>
      <c r="V184" s="69"/>
      <c r="W184" s="69"/>
    </row>
    <row r="185" spans="1:23" ht="15.75" customHeight="1" x14ac:dyDescent="0.25">
      <c r="A185" s="74"/>
      <c r="B185" s="74"/>
      <c r="C185" s="76"/>
      <c r="D185" s="76"/>
      <c r="E185" s="76"/>
      <c r="F185" s="76"/>
      <c r="G185" s="76"/>
      <c r="H185" s="76"/>
      <c r="I185" s="76"/>
      <c r="J185" s="76"/>
      <c r="K185" s="69"/>
      <c r="U185" s="69"/>
      <c r="V185" s="69"/>
      <c r="W185" s="69"/>
    </row>
    <row r="186" spans="1:23" ht="15.75" customHeight="1" x14ac:dyDescent="0.25">
      <c r="A186" s="74" t="s">
        <v>674</v>
      </c>
      <c r="B186" s="74"/>
      <c r="C186" s="76"/>
      <c r="D186" s="76"/>
      <c r="E186" s="76"/>
      <c r="F186" s="76"/>
      <c r="G186" s="76"/>
      <c r="H186" s="76"/>
      <c r="I186" s="76"/>
      <c r="J186" s="76"/>
      <c r="K186" s="69"/>
      <c r="U186" s="69"/>
      <c r="V186" s="69"/>
      <c r="W186" s="69"/>
    </row>
    <row r="187" spans="1:23" ht="15.75" customHeight="1" x14ac:dyDescent="0.25">
      <c r="A187" s="74" t="s">
        <v>675</v>
      </c>
      <c r="B187" s="74"/>
      <c r="C187" s="75"/>
      <c r="D187" s="76">
        <f>(C118*(1-'5.Closing Stock &amp; W Capital'!$D$15))*$C$187*D124</f>
        <v>0</v>
      </c>
      <c r="E187" s="76">
        <f>((D118*(1-'5.Closing Stock &amp; W Capital'!$D$15))+(C118*'5.Closing Stock &amp; W Capital'!$D$15))*$C$187*E124</f>
        <v>0</v>
      </c>
      <c r="F187" s="76">
        <f>((E118*(1-'5.Closing Stock &amp; W Capital'!$D$15))+(D118*'5.Closing Stock &amp; W Capital'!$D$15))*$C$187*F124</f>
        <v>0</v>
      </c>
      <c r="G187" s="76">
        <f>((F118*(1-'5.Closing Stock &amp; W Capital'!$D$15))+(E118*'5.Closing Stock &amp; W Capital'!$D$15))*$C$187*G124</f>
        <v>0</v>
      </c>
      <c r="H187" s="76">
        <f>((G118*(1-'5.Closing Stock &amp; W Capital'!$D$15))+(F118*'5.Closing Stock &amp; W Capital'!$D$15))*$C$187*H124</f>
        <v>0</v>
      </c>
      <c r="I187" s="76">
        <f>((H118*(1-'5.Closing Stock &amp; W Capital'!$D$15))+(G118*'5.Closing Stock &amp; W Capital'!$D$15))*$C$187*I124</f>
        <v>0</v>
      </c>
      <c r="J187" s="76">
        <f>((I118*(1-'5.Closing Stock &amp; W Capital'!$D$15))+(H118*'5.Closing Stock &amp; W Capital'!$D$15))*$C$187*J124</f>
        <v>0</v>
      </c>
      <c r="K187" s="69"/>
      <c r="U187" s="284"/>
      <c r="V187" s="284"/>
      <c r="W187" s="284"/>
    </row>
    <row r="188" spans="1:23" ht="15.75" customHeight="1" x14ac:dyDescent="0.25">
      <c r="A188" s="74" t="s">
        <v>676</v>
      </c>
      <c r="B188" s="74"/>
      <c r="C188" s="75"/>
      <c r="D188" s="76">
        <f>(C119*(1-'5.Closing Stock &amp; W Capital'!$D$15))*$C$188*D124</f>
        <v>0</v>
      </c>
      <c r="E188" s="76">
        <f>((D119*(1-'5.Closing Stock &amp; W Capital'!$D$15))+(C119*'5.Closing Stock &amp; W Capital'!$D$15))*$C$188*E124</f>
        <v>0</v>
      </c>
      <c r="F188" s="76">
        <f>((E119*(1-'5.Closing Stock &amp; W Capital'!$D$15))+(D119*'5.Closing Stock &amp; W Capital'!$D$15))*$C$188*F124</f>
        <v>0</v>
      </c>
      <c r="G188" s="76">
        <f>((F119*(1-'5.Closing Stock &amp; W Capital'!$D$15))+(E119*'5.Closing Stock &amp; W Capital'!$D$15))*$C$188*G124</f>
        <v>0</v>
      </c>
      <c r="H188" s="76">
        <f>((G119*(1-'5.Closing Stock &amp; W Capital'!$D$15))+(F119*'5.Closing Stock &amp; W Capital'!$D$15))*$C$188*H124</f>
        <v>0</v>
      </c>
      <c r="I188" s="76">
        <f>((H119*(1-'5.Closing Stock &amp; W Capital'!$D$15))+(G119*'5.Closing Stock &amp; W Capital'!$D$15))*$C$188*I124</f>
        <v>0</v>
      </c>
      <c r="J188" s="76">
        <f>((I119*(1-'5.Closing Stock &amp; W Capital'!$D$15))+(H119*'5.Closing Stock &amp; W Capital'!$D$15))*$C$188*J124</f>
        <v>0</v>
      </c>
      <c r="K188" s="69"/>
      <c r="U188" s="69"/>
      <c r="V188" s="69"/>
      <c r="W188" s="69"/>
    </row>
    <row r="189" spans="1:23" ht="15.75" customHeight="1" x14ac:dyDescent="0.25">
      <c r="A189" s="74"/>
      <c r="B189" s="74"/>
      <c r="C189" s="76"/>
      <c r="D189" s="76"/>
      <c r="E189" s="76"/>
      <c r="F189" s="76"/>
      <c r="G189" s="76"/>
      <c r="H189" s="76"/>
      <c r="I189" s="76"/>
      <c r="J189" s="76"/>
      <c r="K189" s="69"/>
      <c r="U189" s="69"/>
      <c r="V189" s="69"/>
      <c r="W189" s="69"/>
    </row>
    <row r="190" spans="1:23" ht="15.75" customHeight="1" x14ac:dyDescent="0.25">
      <c r="A190" s="74"/>
      <c r="B190" s="74"/>
      <c r="C190" s="76"/>
      <c r="D190" s="76"/>
      <c r="E190" s="76"/>
      <c r="F190" s="76"/>
      <c r="G190" s="76"/>
      <c r="H190" s="76"/>
      <c r="I190" s="76"/>
      <c r="J190" s="76"/>
      <c r="K190" s="69"/>
      <c r="U190" s="69"/>
      <c r="V190" s="69"/>
      <c r="W190" s="69"/>
    </row>
    <row r="191" spans="1:23" ht="15.75" customHeight="1" x14ac:dyDescent="0.25">
      <c r="A191" s="77" t="s">
        <v>354</v>
      </c>
      <c r="B191" s="77"/>
      <c r="C191" s="78"/>
      <c r="D191" s="78">
        <f t="shared" ref="D191:J191" si="55">SUM(D130:D188)</f>
        <v>4189500</v>
      </c>
      <c r="E191" s="78">
        <f t="shared" si="55"/>
        <v>5730243.75</v>
      </c>
      <c r="F191" s="78">
        <f t="shared" si="55"/>
        <v>7232262.1875</v>
      </c>
      <c r="G191" s="78">
        <f t="shared" si="55"/>
        <v>8870156.8593750019</v>
      </c>
      <c r="H191" s="78">
        <f t="shared" si="55"/>
        <v>10653760.342968753</v>
      </c>
      <c r="I191" s="78">
        <f t="shared" si="55"/>
        <v>12593548.782773441</v>
      </c>
      <c r="J191" s="78">
        <f t="shared" si="55"/>
        <v>14700681.665701177</v>
      </c>
      <c r="K191" s="69"/>
      <c r="U191" s="69"/>
      <c r="V191" s="69"/>
      <c r="W191" s="69"/>
    </row>
    <row r="192" spans="1:23" ht="15.75" customHeight="1" x14ac:dyDescent="0.25">
      <c r="A192" s="74"/>
      <c r="B192" s="74"/>
      <c r="C192" s="76"/>
      <c r="D192" s="76"/>
      <c r="E192" s="76"/>
      <c r="F192" s="76"/>
      <c r="G192" s="76"/>
      <c r="H192" s="76"/>
      <c r="I192" s="76"/>
      <c r="J192" s="76"/>
      <c r="K192" s="69"/>
      <c r="U192" s="69"/>
      <c r="V192" s="69"/>
      <c r="W192" s="69"/>
    </row>
    <row r="193" spans="1:23" ht="15.75" customHeight="1" x14ac:dyDescent="0.25">
      <c r="A193" s="74"/>
      <c r="B193" s="74"/>
      <c r="C193" s="76"/>
      <c r="D193" s="76"/>
      <c r="E193" s="76"/>
      <c r="F193" s="76"/>
      <c r="G193" s="76"/>
      <c r="H193" s="76"/>
      <c r="I193" s="76"/>
      <c r="J193" s="76"/>
      <c r="K193" s="69"/>
      <c r="U193" s="69"/>
      <c r="V193" s="69"/>
      <c r="W193" s="69"/>
    </row>
    <row r="194" spans="1:23" ht="15.75" customHeight="1" x14ac:dyDescent="0.25">
      <c r="A194" s="77" t="s">
        <v>588</v>
      </c>
      <c r="B194" s="77"/>
      <c r="C194" s="76"/>
      <c r="D194" s="76"/>
      <c r="E194" s="76"/>
      <c r="F194" s="76"/>
      <c r="G194" s="76"/>
      <c r="H194" s="76"/>
      <c r="I194" s="76"/>
      <c r="J194" s="76"/>
      <c r="K194" s="69"/>
      <c r="U194" s="69"/>
      <c r="V194" s="69"/>
      <c r="W194" s="69"/>
    </row>
    <row r="195" spans="1:23" ht="15.75" customHeight="1" x14ac:dyDescent="0.25">
      <c r="A195" s="77" t="str">
        <f>A128</f>
        <v>Seeds (Rate/KG)</v>
      </c>
      <c r="B195" s="77"/>
      <c r="C195" s="76"/>
      <c r="D195" s="76"/>
      <c r="E195" s="76"/>
      <c r="F195" s="76"/>
      <c r="G195" s="76"/>
      <c r="H195" s="76"/>
      <c r="I195" s="76"/>
      <c r="J195" s="76"/>
      <c r="K195" s="69"/>
      <c r="U195" s="69"/>
      <c r="V195" s="69"/>
      <c r="W195" s="69"/>
    </row>
    <row r="196" spans="1:23" ht="15.75" customHeight="1" x14ac:dyDescent="0.25">
      <c r="A196" s="69" t="s">
        <v>355</v>
      </c>
      <c r="B196" s="69"/>
      <c r="C196" s="69"/>
      <c r="D196" s="69"/>
      <c r="E196" s="69"/>
      <c r="F196" s="69"/>
      <c r="G196" s="69"/>
      <c r="H196" s="69"/>
      <c r="I196" s="69"/>
      <c r="J196" s="69"/>
      <c r="K196" s="69"/>
      <c r="U196" s="69"/>
      <c r="V196" s="69"/>
      <c r="W196" s="69"/>
    </row>
    <row r="197" spans="1:23" ht="15.75" customHeight="1" x14ac:dyDescent="0.25">
      <c r="A197" s="74" t="str">
        <f t="shared" ref="A197:A238" si="56">A130</f>
        <v>Turmeric</v>
      </c>
      <c r="B197" s="69"/>
      <c r="C197" s="75">
        <v>85</v>
      </c>
      <c r="D197" s="76">
        <f t="shared" ref="D197:J197" si="57">C62*$C197*D$124</f>
        <v>0</v>
      </c>
      <c r="E197" s="76">
        <f t="shared" si="57"/>
        <v>0</v>
      </c>
      <c r="F197" s="76">
        <f t="shared" si="57"/>
        <v>0</v>
      </c>
      <c r="G197" s="76">
        <f t="shared" si="57"/>
        <v>0</v>
      </c>
      <c r="H197" s="76">
        <f t="shared" si="57"/>
        <v>0</v>
      </c>
      <c r="I197" s="76">
        <f t="shared" si="57"/>
        <v>0</v>
      </c>
      <c r="J197" s="76">
        <f t="shared" si="57"/>
        <v>0</v>
      </c>
      <c r="K197" s="69"/>
      <c r="U197" s="69"/>
      <c r="V197" s="69"/>
      <c r="W197" s="69"/>
    </row>
    <row r="198" spans="1:23" ht="15.75" customHeight="1" x14ac:dyDescent="0.25">
      <c r="A198" s="74" t="str">
        <f t="shared" si="56"/>
        <v>Red Gram/Tur</v>
      </c>
      <c r="B198" s="74"/>
      <c r="C198" s="75">
        <v>75</v>
      </c>
      <c r="D198" s="76">
        <f t="shared" ref="D198:J198" si="58">C63*$C198*D$124</f>
        <v>0</v>
      </c>
      <c r="E198" s="76">
        <f t="shared" si="58"/>
        <v>0</v>
      </c>
      <c r="F198" s="76">
        <f t="shared" si="58"/>
        <v>0</v>
      </c>
      <c r="G198" s="76">
        <f t="shared" si="58"/>
        <v>0</v>
      </c>
      <c r="H198" s="76">
        <f t="shared" si="58"/>
        <v>0</v>
      </c>
      <c r="I198" s="76">
        <f t="shared" si="58"/>
        <v>0</v>
      </c>
      <c r="J198" s="76">
        <f t="shared" si="58"/>
        <v>0</v>
      </c>
      <c r="K198" s="69"/>
      <c r="U198" s="69"/>
      <c r="V198" s="69"/>
      <c r="W198" s="69"/>
    </row>
    <row r="199" spans="1:23" ht="15.75" customHeight="1" x14ac:dyDescent="0.25">
      <c r="A199" s="74" t="str">
        <f t="shared" si="56"/>
        <v>Paddy/Rice</v>
      </c>
      <c r="B199" s="74"/>
      <c r="C199" s="75">
        <v>57</v>
      </c>
      <c r="D199" s="76">
        <f t="shared" ref="D199:J199" si="59">C64*$C199*D$124</f>
        <v>0</v>
      </c>
      <c r="E199" s="76">
        <f t="shared" si="59"/>
        <v>0</v>
      </c>
      <c r="F199" s="76">
        <f t="shared" si="59"/>
        <v>0</v>
      </c>
      <c r="G199" s="76">
        <f t="shared" si="59"/>
        <v>0</v>
      </c>
      <c r="H199" s="76">
        <f t="shared" si="59"/>
        <v>0</v>
      </c>
      <c r="I199" s="76">
        <f t="shared" si="59"/>
        <v>0</v>
      </c>
      <c r="J199" s="76">
        <f t="shared" si="59"/>
        <v>0</v>
      </c>
      <c r="K199" s="69"/>
      <c r="U199" s="69"/>
      <c r="V199" s="69"/>
      <c r="W199" s="69"/>
    </row>
    <row r="200" spans="1:23" ht="15.75" customHeight="1" x14ac:dyDescent="0.25">
      <c r="A200" s="74" t="str">
        <f t="shared" si="56"/>
        <v>Green Gram/ Moong</v>
      </c>
      <c r="B200" s="74"/>
      <c r="C200" s="75">
        <v>80</v>
      </c>
      <c r="D200" s="76">
        <f t="shared" ref="D200:J200" si="60">C65*$C200*D$124</f>
        <v>0</v>
      </c>
      <c r="E200" s="76">
        <f t="shared" si="60"/>
        <v>0</v>
      </c>
      <c r="F200" s="76">
        <f t="shared" si="60"/>
        <v>0</v>
      </c>
      <c r="G200" s="76">
        <f t="shared" si="60"/>
        <v>0</v>
      </c>
      <c r="H200" s="76">
        <f t="shared" si="60"/>
        <v>0</v>
      </c>
      <c r="I200" s="76">
        <f t="shared" si="60"/>
        <v>0</v>
      </c>
      <c r="J200" s="76">
        <f t="shared" si="60"/>
        <v>0</v>
      </c>
      <c r="K200" s="69"/>
      <c r="L200" s="69"/>
      <c r="M200" s="69"/>
      <c r="N200" s="69"/>
      <c r="O200" s="69"/>
      <c r="P200" s="69"/>
      <c r="Q200" s="69"/>
      <c r="R200" s="69"/>
      <c r="S200" s="69"/>
      <c r="T200" s="69"/>
      <c r="U200" s="69"/>
      <c r="V200" s="69"/>
      <c r="W200" s="69"/>
    </row>
    <row r="201" spans="1:23" ht="15.75" customHeight="1" x14ac:dyDescent="0.25">
      <c r="A201" s="74" t="str">
        <f t="shared" si="56"/>
        <v>Maize</v>
      </c>
      <c r="B201" s="74"/>
      <c r="C201" s="75">
        <v>25</v>
      </c>
      <c r="D201" s="76">
        <f t="shared" ref="D201:J201" si="61">C66*$C201*D$124</f>
        <v>0</v>
      </c>
      <c r="E201" s="76">
        <f t="shared" si="61"/>
        <v>0</v>
      </c>
      <c r="F201" s="76">
        <f t="shared" si="61"/>
        <v>0</v>
      </c>
      <c r="G201" s="76">
        <f t="shared" si="61"/>
        <v>0</v>
      </c>
      <c r="H201" s="76">
        <f t="shared" si="61"/>
        <v>0</v>
      </c>
      <c r="I201" s="76">
        <f t="shared" si="61"/>
        <v>0</v>
      </c>
      <c r="J201" s="76">
        <f t="shared" si="61"/>
        <v>0</v>
      </c>
      <c r="K201" s="69"/>
      <c r="L201" s="69"/>
      <c r="M201" s="69"/>
      <c r="N201" s="69"/>
      <c r="O201" s="69"/>
      <c r="P201" s="69"/>
      <c r="Q201" s="69"/>
      <c r="R201" s="69"/>
      <c r="S201" s="69"/>
      <c r="T201" s="69"/>
      <c r="U201" s="69"/>
      <c r="V201" s="69"/>
      <c r="W201" s="69"/>
    </row>
    <row r="202" spans="1:23" ht="15.75" customHeight="1" x14ac:dyDescent="0.25">
      <c r="A202" s="74" t="str">
        <f t="shared" si="56"/>
        <v>Black Gram/Udid</v>
      </c>
      <c r="B202" s="74"/>
      <c r="C202" s="75">
        <v>70</v>
      </c>
      <c r="D202" s="76">
        <f t="shared" ref="D202:J202" si="62">C67*$C202*D$124</f>
        <v>0</v>
      </c>
      <c r="E202" s="76">
        <f t="shared" si="62"/>
        <v>0</v>
      </c>
      <c r="F202" s="76">
        <f t="shared" si="62"/>
        <v>0</v>
      </c>
      <c r="G202" s="76">
        <f t="shared" si="62"/>
        <v>0</v>
      </c>
      <c r="H202" s="76">
        <f t="shared" si="62"/>
        <v>0</v>
      </c>
      <c r="I202" s="76">
        <f t="shared" si="62"/>
        <v>0</v>
      </c>
      <c r="J202" s="76">
        <f t="shared" si="62"/>
        <v>0</v>
      </c>
      <c r="K202" s="69"/>
      <c r="L202" s="69"/>
      <c r="M202" s="69"/>
      <c r="N202" s="69"/>
      <c r="O202" s="69"/>
      <c r="P202" s="69"/>
      <c r="Q202" s="69"/>
      <c r="R202" s="69"/>
      <c r="S202" s="69"/>
      <c r="T202" s="69"/>
      <c r="U202" s="69"/>
      <c r="V202" s="69"/>
      <c r="W202" s="69"/>
    </row>
    <row r="203" spans="1:23" ht="15.75" customHeight="1" x14ac:dyDescent="0.25">
      <c r="A203" s="74" t="str">
        <f t="shared" si="56"/>
        <v>Bajra</v>
      </c>
      <c r="B203" s="74"/>
      <c r="C203" s="75">
        <v>25</v>
      </c>
      <c r="D203" s="76">
        <f t="shared" ref="D203:J203" si="63">C68*$C203*D$124</f>
        <v>0</v>
      </c>
      <c r="E203" s="76">
        <f t="shared" si="63"/>
        <v>0</v>
      </c>
      <c r="F203" s="76">
        <f t="shared" si="63"/>
        <v>0</v>
      </c>
      <c r="G203" s="76">
        <f t="shared" si="63"/>
        <v>0</v>
      </c>
      <c r="H203" s="76">
        <f t="shared" si="63"/>
        <v>0</v>
      </c>
      <c r="I203" s="76">
        <f t="shared" si="63"/>
        <v>0</v>
      </c>
      <c r="J203" s="76">
        <f t="shared" si="63"/>
        <v>0</v>
      </c>
      <c r="K203" s="69"/>
      <c r="L203" s="69"/>
      <c r="M203" s="69"/>
      <c r="N203" s="69"/>
      <c r="O203" s="69"/>
      <c r="P203" s="69"/>
      <c r="Q203" s="69"/>
      <c r="R203" s="69"/>
      <c r="S203" s="69"/>
      <c r="T203" s="69"/>
      <c r="U203" s="69"/>
      <c r="V203" s="69"/>
      <c r="W203" s="69"/>
    </row>
    <row r="204" spans="1:23" ht="15.75" customHeight="1" x14ac:dyDescent="0.25">
      <c r="A204" s="74" t="str">
        <f t="shared" si="56"/>
        <v>Jawar</v>
      </c>
      <c r="B204" s="74"/>
      <c r="C204" s="75">
        <v>25</v>
      </c>
      <c r="D204" s="76">
        <f t="shared" ref="D204:J204" si="64">C69*$C204*D$124</f>
        <v>0</v>
      </c>
      <c r="E204" s="76">
        <f t="shared" si="64"/>
        <v>0</v>
      </c>
      <c r="F204" s="76">
        <f t="shared" si="64"/>
        <v>0</v>
      </c>
      <c r="G204" s="76">
        <f t="shared" si="64"/>
        <v>0</v>
      </c>
      <c r="H204" s="76">
        <f t="shared" si="64"/>
        <v>0</v>
      </c>
      <c r="I204" s="76">
        <f t="shared" si="64"/>
        <v>0</v>
      </c>
      <c r="J204" s="76">
        <f t="shared" si="64"/>
        <v>0</v>
      </c>
      <c r="K204" s="69"/>
      <c r="L204" s="69"/>
      <c r="M204" s="69"/>
      <c r="N204" s="69"/>
      <c r="O204" s="69"/>
      <c r="P204" s="69"/>
      <c r="Q204" s="69"/>
      <c r="R204" s="69"/>
      <c r="S204" s="69"/>
      <c r="T204" s="69"/>
      <c r="U204" s="69"/>
      <c r="V204" s="69"/>
      <c r="W204" s="69"/>
    </row>
    <row r="205" spans="1:23" ht="15.75" customHeight="1" x14ac:dyDescent="0.25">
      <c r="A205" s="77" t="str">
        <f t="shared" si="56"/>
        <v>Rabi Crop</v>
      </c>
      <c r="B205" s="74"/>
      <c r="C205" s="75"/>
      <c r="D205" s="76">
        <f t="shared" ref="D205:J205" si="65">C70*$C205*D$124</f>
        <v>0</v>
      </c>
      <c r="E205" s="76">
        <f t="shared" si="65"/>
        <v>0</v>
      </c>
      <c r="F205" s="76">
        <f t="shared" si="65"/>
        <v>0</v>
      </c>
      <c r="G205" s="76">
        <f t="shared" si="65"/>
        <v>0</v>
      </c>
      <c r="H205" s="76">
        <f t="shared" si="65"/>
        <v>0</v>
      </c>
      <c r="I205" s="76">
        <f t="shared" si="65"/>
        <v>0</v>
      </c>
      <c r="J205" s="76">
        <f t="shared" si="65"/>
        <v>0</v>
      </c>
      <c r="K205" s="69"/>
      <c r="L205" s="69"/>
      <c r="M205" s="69"/>
      <c r="N205" s="69"/>
      <c r="O205" s="69"/>
      <c r="P205" s="69"/>
      <c r="Q205" s="69"/>
      <c r="R205" s="69"/>
      <c r="S205" s="69"/>
      <c r="T205" s="69"/>
      <c r="U205" s="69"/>
      <c r="V205" s="69"/>
      <c r="W205" s="69"/>
    </row>
    <row r="206" spans="1:23" ht="15.75" customHeight="1" x14ac:dyDescent="0.25">
      <c r="A206" s="74" t="str">
        <f t="shared" si="56"/>
        <v>Wheat</v>
      </c>
      <c r="B206" s="74"/>
      <c r="C206" s="75">
        <v>35</v>
      </c>
      <c r="D206" s="76">
        <f t="shared" ref="D206:J206" si="66">C71*$C206*D$124</f>
        <v>0</v>
      </c>
      <c r="E206" s="76">
        <f t="shared" si="66"/>
        <v>0</v>
      </c>
      <c r="F206" s="76">
        <f t="shared" si="66"/>
        <v>0</v>
      </c>
      <c r="G206" s="76">
        <f t="shared" si="66"/>
        <v>0</v>
      </c>
      <c r="H206" s="76">
        <f t="shared" si="66"/>
        <v>0</v>
      </c>
      <c r="I206" s="76">
        <f t="shared" si="66"/>
        <v>0</v>
      </c>
      <c r="J206" s="76">
        <f t="shared" si="66"/>
        <v>0</v>
      </c>
      <c r="K206" s="69"/>
      <c r="L206" s="69"/>
      <c r="M206" s="69"/>
      <c r="N206" s="69"/>
      <c r="O206" s="69"/>
      <c r="P206" s="69"/>
      <c r="Q206" s="69"/>
      <c r="R206" s="69"/>
      <c r="S206" s="69"/>
      <c r="T206" s="69"/>
      <c r="U206" s="69"/>
      <c r="V206" s="69"/>
      <c r="W206" s="69"/>
    </row>
    <row r="207" spans="1:23" ht="15.75" customHeight="1" x14ac:dyDescent="0.25">
      <c r="A207" s="74" t="str">
        <f t="shared" si="56"/>
        <v>Bengal Gram/Channa</v>
      </c>
      <c r="B207" s="74"/>
      <c r="C207" s="75">
        <v>70</v>
      </c>
      <c r="D207" s="76">
        <f t="shared" ref="D207:J207" si="67">C72*$C207*D$124</f>
        <v>0</v>
      </c>
      <c r="E207" s="76">
        <f t="shared" si="67"/>
        <v>0</v>
      </c>
      <c r="F207" s="76">
        <f t="shared" si="67"/>
        <v>0</v>
      </c>
      <c r="G207" s="76">
        <f t="shared" si="67"/>
        <v>0</v>
      </c>
      <c r="H207" s="76">
        <f t="shared" si="67"/>
        <v>0</v>
      </c>
      <c r="I207" s="76">
        <f t="shared" si="67"/>
        <v>0</v>
      </c>
      <c r="J207" s="76">
        <f t="shared" si="67"/>
        <v>0</v>
      </c>
      <c r="K207" s="69"/>
      <c r="L207" s="69"/>
      <c r="M207" s="69"/>
      <c r="N207" s="69"/>
      <c r="O207" s="69"/>
      <c r="P207" s="69"/>
      <c r="Q207" s="69"/>
      <c r="R207" s="69"/>
      <c r="S207" s="69"/>
      <c r="T207" s="69"/>
      <c r="U207" s="69"/>
      <c r="V207" s="69"/>
      <c r="W207" s="69"/>
    </row>
    <row r="208" spans="1:23" ht="15.75" customHeight="1" x14ac:dyDescent="0.25">
      <c r="A208" s="74" t="str">
        <f t="shared" si="56"/>
        <v>Jawar</v>
      </c>
      <c r="B208" s="74"/>
      <c r="C208" s="75">
        <v>25</v>
      </c>
      <c r="D208" s="76">
        <f t="shared" ref="D208:J208" si="68">C73*$C208*D$124</f>
        <v>0</v>
      </c>
      <c r="E208" s="76">
        <f t="shared" si="68"/>
        <v>0</v>
      </c>
      <c r="F208" s="76">
        <f t="shared" si="68"/>
        <v>0</v>
      </c>
      <c r="G208" s="76">
        <f t="shared" si="68"/>
        <v>0</v>
      </c>
      <c r="H208" s="76">
        <f t="shared" si="68"/>
        <v>0</v>
      </c>
      <c r="I208" s="76">
        <f t="shared" si="68"/>
        <v>0</v>
      </c>
      <c r="J208" s="76">
        <f t="shared" si="68"/>
        <v>0</v>
      </c>
      <c r="K208" s="69"/>
      <c r="L208" s="69"/>
      <c r="M208" s="69"/>
      <c r="N208" s="69"/>
      <c r="O208" s="69"/>
      <c r="P208" s="69"/>
      <c r="Q208" s="69"/>
      <c r="R208" s="69"/>
      <c r="S208" s="69"/>
      <c r="T208" s="69"/>
      <c r="U208" s="69"/>
      <c r="V208" s="69"/>
      <c r="W208" s="69"/>
    </row>
    <row r="209" spans="1:23" ht="15.75" customHeight="1" x14ac:dyDescent="0.25">
      <c r="A209" s="74" t="str">
        <f t="shared" si="56"/>
        <v>Maize</v>
      </c>
      <c r="B209" s="74"/>
      <c r="C209" s="75">
        <v>25</v>
      </c>
      <c r="D209" s="76">
        <f t="shared" ref="D209:J209" si="69">C74*$C209*D$124</f>
        <v>0</v>
      </c>
      <c r="E209" s="76">
        <f t="shared" si="69"/>
        <v>0</v>
      </c>
      <c r="F209" s="76">
        <f t="shared" si="69"/>
        <v>0</v>
      </c>
      <c r="G209" s="76">
        <f t="shared" si="69"/>
        <v>0</v>
      </c>
      <c r="H209" s="76">
        <f t="shared" si="69"/>
        <v>0</v>
      </c>
      <c r="I209" s="76">
        <f t="shared" si="69"/>
        <v>0</v>
      </c>
      <c r="J209" s="76">
        <f t="shared" si="69"/>
        <v>0</v>
      </c>
      <c r="K209" s="69"/>
      <c r="L209" s="69"/>
      <c r="M209" s="69"/>
      <c r="N209" s="69"/>
      <c r="O209" s="69"/>
      <c r="P209" s="69"/>
      <c r="Q209" s="69"/>
      <c r="R209" s="69"/>
      <c r="S209" s="69"/>
      <c r="T209" s="69"/>
      <c r="U209" s="69"/>
      <c r="V209" s="69"/>
      <c r="W209" s="69"/>
    </row>
    <row r="210" spans="1:23" ht="15.75" customHeight="1" x14ac:dyDescent="0.25">
      <c r="A210" s="74" t="str">
        <f t="shared" si="56"/>
        <v>Safflower</v>
      </c>
      <c r="B210" s="74"/>
      <c r="C210" s="75">
        <v>25</v>
      </c>
      <c r="D210" s="76">
        <f t="shared" ref="D210:J210" si="70">C75*$C210*D$124</f>
        <v>0</v>
      </c>
      <c r="E210" s="76">
        <f t="shared" si="70"/>
        <v>0</v>
      </c>
      <c r="F210" s="76">
        <f t="shared" si="70"/>
        <v>0</v>
      </c>
      <c r="G210" s="76">
        <f t="shared" si="70"/>
        <v>0</v>
      </c>
      <c r="H210" s="76">
        <f t="shared" si="70"/>
        <v>0</v>
      </c>
      <c r="I210" s="76">
        <f t="shared" si="70"/>
        <v>0</v>
      </c>
      <c r="J210" s="76">
        <f t="shared" si="70"/>
        <v>0</v>
      </c>
      <c r="K210" s="69"/>
      <c r="L210" s="69"/>
      <c r="M210" s="69"/>
      <c r="N210" s="69"/>
      <c r="O210" s="69"/>
      <c r="P210" s="69"/>
      <c r="Q210" s="69"/>
      <c r="R210" s="69"/>
      <c r="S210" s="69"/>
      <c r="T210" s="69"/>
      <c r="U210" s="69"/>
      <c r="V210" s="69"/>
      <c r="W210" s="69"/>
    </row>
    <row r="211" spans="1:23" ht="15.75" customHeight="1" x14ac:dyDescent="0.25">
      <c r="A211" s="74">
        <f t="shared" si="56"/>
        <v>0</v>
      </c>
      <c r="B211" s="74"/>
      <c r="C211" s="75"/>
      <c r="D211" s="76">
        <f t="shared" ref="D211:J211" si="71">C76*$C211*D$124</f>
        <v>0</v>
      </c>
      <c r="E211" s="76">
        <f t="shared" si="71"/>
        <v>0</v>
      </c>
      <c r="F211" s="76">
        <f t="shared" si="71"/>
        <v>0</v>
      </c>
      <c r="G211" s="76">
        <f t="shared" si="71"/>
        <v>0</v>
      </c>
      <c r="H211" s="76">
        <f t="shared" si="71"/>
        <v>0</v>
      </c>
      <c r="I211" s="76">
        <f t="shared" si="71"/>
        <v>0</v>
      </c>
      <c r="J211" s="76">
        <f t="shared" si="71"/>
        <v>0</v>
      </c>
      <c r="K211" s="69"/>
      <c r="L211" s="69"/>
      <c r="M211" s="69"/>
      <c r="N211" s="69"/>
      <c r="O211" s="69"/>
      <c r="P211" s="69"/>
      <c r="Q211" s="69"/>
      <c r="R211" s="69"/>
      <c r="S211" s="69"/>
      <c r="T211" s="69"/>
      <c r="U211" s="69"/>
      <c r="V211" s="69"/>
      <c r="W211" s="69"/>
    </row>
    <row r="212" spans="1:23" ht="15.75" customHeight="1" x14ac:dyDescent="0.25">
      <c r="A212" s="74">
        <f t="shared" si="56"/>
        <v>0</v>
      </c>
      <c r="B212" s="74"/>
      <c r="C212" s="75"/>
      <c r="D212" s="76">
        <f t="shared" ref="D212:J212" si="72">C77*$C212*D$124</f>
        <v>0</v>
      </c>
      <c r="E212" s="76">
        <f t="shared" si="72"/>
        <v>0</v>
      </c>
      <c r="F212" s="76">
        <f t="shared" si="72"/>
        <v>0</v>
      </c>
      <c r="G212" s="76">
        <f t="shared" si="72"/>
        <v>0</v>
      </c>
      <c r="H212" s="76">
        <f t="shared" si="72"/>
        <v>0</v>
      </c>
      <c r="I212" s="76">
        <f t="shared" si="72"/>
        <v>0</v>
      </c>
      <c r="J212" s="76">
        <f t="shared" si="72"/>
        <v>0</v>
      </c>
      <c r="K212" s="69"/>
      <c r="L212" s="69"/>
      <c r="M212" s="69"/>
      <c r="N212" s="69"/>
      <c r="O212" s="69"/>
      <c r="P212" s="69"/>
      <c r="Q212" s="69"/>
      <c r="R212" s="69"/>
      <c r="S212" s="69"/>
      <c r="T212" s="69"/>
      <c r="U212" s="69"/>
      <c r="V212" s="69"/>
      <c r="W212" s="69"/>
    </row>
    <row r="213" spans="1:23" ht="15.75" customHeight="1" x14ac:dyDescent="0.25">
      <c r="A213" s="74">
        <f t="shared" si="56"/>
        <v>0</v>
      </c>
      <c r="B213" s="74"/>
      <c r="C213" s="75"/>
      <c r="D213" s="76">
        <f t="shared" ref="D213:J213" si="73">C78*$C213*D$124</f>
        <v>0</v>
      </c>
      <c r="E213" s="76">
        <f t="shared" si="73"/>
        <v>0</v>
      </c>
      <c r="F213" s="76">
        <f t="shared" si="73"/>
        <v>0</v>
      </c>
      <c r="G213" s="76">
        <f t="shared" si="73"/>
        <v>0</v>
      </c>
      <c r="H213" s="76">
        <f t="shared" si="73"/>
        <v>0</v>
      </c>
      <c r="I213" s="76">
        <f t="shared" si="73"/>
        <v>0</v>
      </c>
      <c r="J213" s="76">
        <f t="shared" si="73"/>
        <v>0</v>
      </c>
      <c r="K213" s="69"/>
      <c r="L213" s="69"/>
      <c r="M213" s="69"/>
      <c r="N213" s="69"/>
      <c r="O213" s="69"/>
      <c r="P213" s="69"/>
      <c r="Q213" s="69"/>
      <c r="R213" s="69"/>
      <c r="S213" s="69"/>
      <c r="T213" s="69"/>
      <c r="U213" s="69"/>
      <c r="V213" s="69"/>
      <c r="W213" s="69"/>
    </row>
    <row r="214" spans="1:23" ht="15.75" customHeight="1" x14ac:dyDescent="0.25">
      <c r="A214" s="74" t="str">
        <f t="shared" si="56"/>
        <v>Summer</v>
      </c>
      <c r="B214" s="74"/>
      <c r="C214" s="75"/>
      <c r="D214" s="76">
        <f t="shared" ref="D214:J214" si="74">C79*$C214*D$124</f>
        <v>0</v>
      </c>
      <c r="E214" s="76">
        <f t="shared" si="74"/>
        <v>0</v>
      </c>
      <c r="F214" s="76">
        <f t="shared" si="74"/>
        <v>0</v>
      </c>
      <c r="G214" s="76">
        <f t="shared" si="74"/>
        <v>0</v>
      </c>
      <c r="H214" s="76">
        <f t="shared" si="74"/>
        <v>0</v>
      </c>
      <c r="I214" s="76">
        <f t="shared" si="74"/>
        <v>0</v>
      </c>
      <c r="J214" s="76">
        <f t="shared" si="74"/>
        <v>0</v>
      </c>
      <c r="K214" s="69"/>
      <c r="L214" s="69"/>
      <c r="M214" s="69"/>
      <c r="N214" s="69"/>
      <c r="O214" s="69"/>
      <c r="P214" s="69"/>
      <c r="Q214" s="69"/>
      <c r="R214" s="69"/>
      <c r="S214" s="69"/>
      <c r="T214" s="69"/>
      <c r="U214" s="69"/>
      <c r="V214" s="69"/>
      <c r="W214" s="69"/>
    </row>
    <row r="215" spans="1:23" ht="15.75" customHeight="1" x14ac:dyDescent="0.25">
      <c r="A215" s="74" t="str">
        <f t="shared" si="56"/>
        <v>Turmeric</v>
      </c>
      <c r="B215" s="74"/>
      <c r="C215" s="75">
        <v>5000</v>
      </c>
      <c r="D215" s="76">
        <f t="shared" ref="D215:J215" si="75">C80*$C215*D$124</f>
        <v>2450000</v>
      </c>
      <c r="E215" s="76">
        <f t="shared" si="75"/>
        <v>3215625</v>
      </c>
      <c r="F215" s="76">
        <f t="shared" si="75"/>
        <v>4051687.5</v>
      </c>
      <c r="G215" s="76">
        <f t="shared" si="75"/>
        <v>4963317.1875000009</v>
      </c>
      <c r="H215" s="76">
        <f t="shared" si="75"/>
        <v>5955980.6250000009</v>
      </c>
      <c r="I215" s="76">
        <f t="shared" si="75"/>
        <v>7035502.1132812519</v>
      </c>
      <c r="J215" s="76">
        <f t="shared" si="75"/>
        <v>8208085.7988281278</v>
      </c>
      <c r="K215" s="69"/>
      <c r="L215" s="69"/>
      <c r="M215" s="69"/>
      <c r="N215" s="69"/>
      <c r="O215" s="69"/>
      <c r="P215" s="69"/>
      <c r="Q215" s="69"/>
      <c r="R215" s="69"/>
      <c r="S215" s="69"/>
      <c r="T215" s="69"/>
      <c r="U215" s="69"/>
      <c r="V215" s="69"/>
      <c r="W215" s="69"/>
    </row>
    <row r="216" spans="1:23" ht="15.75" customHeight="1" x14ac:dyDescent="0.25">
      <c r="A216" s="74">
        <f t="shared" si="56"/>
        <v>0</v>
      </c>
      <c r="B216" s="74"/>
      <c r="C216" s="75"/>
      <c r="D216" s="76">
        <f t="shared" ref="D216:J216" si="76">C81*$C216*D$124</f>
        <v>0</v>
      </c>
      <c r="E216" s="76">
        <f t="shared" si="76"/>
        <v>0</v>
      </c>
      <c r="F216" s="76">
        <f t="shared" si="76"/>
        <v>0</v>
      </c>
      <c r="G216" s="76">
        <f t="shared" si="76"/>
        <v>0</v>
      </c>
      <c r="H216" s="76">
        <f t="shared" si="76"/>
        <v>0</v>
      </c>
      <c r="I216" s="76">
        <f t="shared" si="76"/>
        <v>0</v>
      </c>
      <c r="J216" s="76">
        <f t="shared" si="76"/>
        <v>0</v>
      </c>
      <c r="K216" s="69"/>
      <c r="L216" s="69"/>
      <c r="M216" s="69"/>
      <c r="N216" s="69"/>
      <c r="O216" s="69"/>
      <c r="P216" s="69"/>
      <c r="Q216" s="69"/>
      <c r="R216" s="69"/>
      <c r="S216" s="69"/>
      <c r="T216" s="69"/>
      <c r="U216" s="69"/>
      <c r="V216" s="69"/>
      <c r="W216" s="69"/>
    </row>
    <row r="217" spans="1:23" ht="15.75" customHeight="1" x14ac:dyDescent="0.25">
      <c r="A217" s="74">
        <f t="shared" si="56"/>
        <v>0</v>
      </c>
      <c r="B217" s="74"/>
      <c r="C217" s="75"/>
      <c r="D217" s="76">
        <f t="shared" ref="D217:J217" si="77">C82*$C217*D$124</f>
        <v>0</v>
      </c>
      <c r="E217" s="76">
        <f t="shared" si="77"/>
        <v>0</v>
      </c>
      <c r="F217" s="76">
        <f t="shared" si="77"/>
        <v>0</v>
      </c>
      <c r="G217" s="76">
        <f t="shared" si="77"/>
        <v>0</v>
      </c>
      <c r="H217" s="76">
        <f t="shared" si="77"/>
        <v>0</v>
      </c>
      <c r="I217" s="76">
        <f t="shared" si="77"/>
        <v>0</v>
      </c>
      <c r="J217" s="76">
        <f t="shared" si="77"/>
        <v>0</v>
      </c>
      <c r="K217" s="69"/>
      <c r="L217" s="69"/>
      <c r="M217" s="69"/>
      <c r="N217" s="69"/>
      <c r="O217" s="69"/>
      <c r="P217" s="69"/>
      <c r="Q217" s="69"/>
      <c r="R217" s="69"/>
      <c r="S217" s="69"/>
      <c r="T217" s="69"/>
      <c r="U217" s="69"/>
      <c r="V217" s="69"/>
      <c r="W217" s="69"/>
    </row>
    <row r="218" spans="1:23" ht="15.75" customHeight="1" x14ac:dyDescent="0.25">
      <c r="A218" s="74">
        <f t="shared" si="56"/>
        <v>0</v>
      </c>
      <c r="B218" s="74"/>
      <c r="C218" s="75"/>
      <c r="D218" s="76">
        <f t="shared" ref="D218:J218" si="78">C83*$C218*D$124</f>
        <v>0</v>
      </c>
      <c r="E218" s="76">
        <f t="shared" si="78"/>
        <v>0</v>
      </c>
      <c r="F218" s="76">
        <f t="shared" si="78"/>
        <v>0</v>
      </c>
      <c r="G218" s="76">
        <f t="shared" si="78"/>
        <v>0</v>
      </c>
      <c r="H218" s="76">
        <f t="shared" si="78"/>
        <v>0</v>
      </c>
      <c r="I218" s="76">
        <f t="shared" si="78"/>
        <v>0</v>
      </c>
      <c r="J218" s="76">
        <f t="shared" si="78"/>
        <v>0</v>
      </c>
      <c r="K218" s="69"/>
      <c r="L218" s="69"/>
      <c r="M218" s="69"/>
      <c r="N218" s="69"/>
      <c r="O218" s="69"/>
      <c r="P218" s="69"/>
      <c r="Q218" s="69"/>
      <c r="R218" s="69"/>
      <c r="S218" s="69"/>
      <c r="T218" s="69"/>
      <c r="U218" s="69"/>
      <c r="V218" s="69"/>
      <c r="W218" s="69"/>
    </row>
    <row r="219" spans="1:23" ht="15.75" customHeight="1" x14ac:dyDescent="0.25">
      <c r="A219" s="74">
        <f t="shared" si="56"/>
        <v>0</v>
      </c>
      <c r="B219" s="74"/>
      <c r="C219" s="75"/>
      <c r="D219" s="76">
        <f t="shared" ref="D219:J219" si="79">C84*$C219*D$124</f>
        <v>0</v>
      </c>
      <c r="E219" s="76">
        <f t="shared" si="79"/>
        <v>0</v>
      </c>
      <c r="F219" s="76">
        <f t="shared" si="79"/>
        <v>0</v>
      </c>
      <c r="G219" s="76">
        <f t="shared" si="79"/>
        <v>0</v>
      </c>
      <c r="H219" s="76">
        <f t="shared" si="79"/>
        <v>0</v>
      </c>
      <c r="I219" s="76">
        <f t="shared" si="79"/>
        <v>0</v>
      </c>
      <c r="J219" s="76">
        <f t="shared" si="79"/>
        <v>0</v>
      </c>
      <c r="K219" s="69"/>
      <c r="L219" s="69"/>
      <c r="M219" s="69"/>
      <c r="N219" s="69"/>
      <c r="O219" s="69"/>
      <c r="P219" s="69"/>
      <c r="Q219" s="69"/>
      <c r="R219" s="69"/>
      <c r="S219" s="69"/>
      <c r="T219" s="69"/>
      <c r="U219" s="69"/>
      <c r="V219" s="69"/>
      <c r="W219" s="69"/>
    </row>
    <row r="220" spans="1:23" ht="15.75" customHeight="1" x14ac:dyDescent="0.25">
      <c r="A220" s="74" t="str">
        <f t="shared" si="56"/>
        <v>Fruit  &amp; Vegetables Crop Production Details</v>
      </c>
      <c r="B220" s="74"/>
      <c r="C220" s="76"/>
      <c r="D220" s="76"/>
      <c r="E220" s="76"/>
      <c r="F220" s="76"/>
      <c r="G220" s="76"/>
      <c r="H220" s="76"/>
      <c r="I220" s="76"/>
      <c r="J220" s="76"/>
      <c r="K220" s="69"/>
      <c r="L220" s="69"/>
      <c r="M220" s="69"/>
      <c r="N220" s="69"/>
      <c r="O220" s="69"/>
      <c r="P220" s="69"/>
      <c r="Q220" s="69"/>
      <c r="R220" s="69"/>
      <c r="S220" s="69"/>
      <c r="T220" s="69"/>
      <c r="U220" s="69"/>
      <c r="V220" s="69"/>
      <c r="W220" s="69"/>
    </row>
    <row r="221" spans="1:23" ht="15.75" customHeight="1" x14ac:dyDescent="0.25">
      <c r="A221" s="74" t="str">
        <f t="shared" si="56"/>
        <v>Onion</v>
      </c>
      <c r="B221" s="74"/>
      <c r="C221" s="75"/>
      <c r="D221" s="76">
        <f t="shared" ref="D221:J221" si="80">C86*$C221*D$124</f>
        <v>0</v>
      </c>
      <c r="E221" s="76">
        <f t="shared" si="80"/>
        <v>0</v>
      </c>
      <c r="F221" s="76">
        <f t="shared" si="80"/>
        <v>0</v>
      </c>
      <c r="G221" s="76">
        <f t="shared" si="80"/>
        <v>0</v>
      </c>
      <c r="H221" s="76">
        <f t="shared" si="80"/>
        <v>0</v>
      </c>
      <c r="I221" s="76">
        <f t="shared" si="80"/>
        <v>0</v>
      </c>
      <c r="J221" s="76">
        <f t="shared" si="80"/>
        <v>0</v>
      </c>
      <c r="K221" s="69"/>
      <c r="L221" s="69"/>
      <c r="M221" s="69"/>
      <c r="N221" s="69"/>
      <c r="O221" s="69"/>
      <c r="P221" s="69"/>
      <c r="Q221" s="69"/>
      <c r="R221" s="69"/>
      <c r="S221" s="69"/>
      <c r="T221" s="69"/>
      <c r="U221" s="69"/>
      <c r="V221" s="69"/>
      <c r="W221" s="69"/>
    </row>
    <row r="222" spans="1:23" ht="15.75" customHeight="1" x14ac:dyDescent="0.25">
      <c r="A222" s="74" t="str">
        <f t="shared" si="56"/>
        <v>Tomato</v>
      </c>
      <c r="B222" s="74"/>
      <c r="C222" s="75"/>
      <c r="D222" s="76">
        <f t="shared" ref="D222:J222" si="81">C87*$C222*D$124</f>
        <v>0</v>
      </c>
      <c r="E222" s="76">
        <f t="shared" si="81"/>
        <v>0</v>
      </c>
      <c r="F222" s="76">
        <f t="shared" si="81"/>
        <v>0</v>
      </c>
      <c r="G222" s="76">
        <f t="shared" si="81"/>
        <v>0</v>
      </c>
      <c r="H222" s="76">
        <f t="shared" si="81"/>
        <v>0</v>
      </c>
      <c r="I222" s="76">
        <f t="shared" si="81"/>
        <v>0</v>
      </c>
      <c r="J222" s="76">
        <f t="shared" si="81"/>
        <v>0</v>
      </c>
      <c r="K222" s="69"/>
      <c r="L222" s="69"/>
      <c r="M222" s="69"/>
      <c r="N222" s="69"/>
      <c r="O222" s="69"/>
      <c r="P222" s="69"/>
      <c r="Q222" s="69"/>
      <c r="R222" s="69"/>
      <c r="S222" s="69"/>
      <c r="T222" s="69"/>
      <c r="U222" s="69"/>
      <c r="V222" s="69"/>
      <c r="W222" s="69"/>
    </row>
    <row r="223" spans="1:23" ht="15.75" customHeight="1" x14ac:dyDescent="0.25">
      <c r="A223" s="74" t="str">
        <f t="shared" si="56"/>
        <v>Okra</v>
      </c>
      <c r="B223" s="74"/>
      <c r="C223" s="75"/>
      <c r="D223" s="76">
        <f t="shared" ref="D223:J223" si="82">C88*$C223*D$124</f>
        <v>0</v>
      </c>
      <c r="E223" s="76">
        <f t="shared" si="82"/>
        <v>0</v>
      </c>
      <c r="F223" s="76">
        <f t="shared" si="82"/>
        <v>0</v>
      </c>
      <c r="G223" s="76">
        <f t="shared" si="82"/>
        <v>0</v>
      </c>
      <c r="H223" s="76">
        <f t="shared" si="82"/>
        <v>0</v>
      </c>
      <c r="I223" s="76">
        <f t="shared" si="82"/>
        <v>0</v>
      </c>
      <c r="J223" s="76">
        <f t="shared" si="82"/>
        <v>0</v>
      </c>
      <c r="K223" s="69"/>
      <c r="L223" s="69"/>
      <c r="M223" s="69"/>
      <c r="N223" s="69"/>
      <c r="O223" s="69"/>
      <c r="P223" s="69"/>
      <c r="Q223" s="69"/>
      <c r="R223" s="69"/>
      <c r="S223" s="69"/>
      <c r="T223" s="69"/>
      <c r="U223" s="69"/>
      <c r="V223" s="69"/>
      <c r="W223" s="69"/>
    </row>
    <row r="224" spans="1:23" ht="15.75" customHeight="1" x14ac:dyDescent="0.25">
      <c r="A224" s="74" t="str">
        <f t="shared" si="56"/>
        <v>Chilli</v>
      </c>
      <c r="B224" s="74"/>
      <c r="C224" s="75"/>
      <c r="D224" s="76">
        <f t="shared" ref="D224:J224" si="83">C89*$C224*D$124</f>
        <v>0</v>
      </c>
      <c r="E224" s="76">
        <f t="shared" si="83"/>
        <v>0</v>
      </c>
      <c r="F224" s="76">
        <f t="shared" si="83"/>
        <v>0</v>
      </c>
      <c r="G224" s="76">
        <f t="shared" si="83"/>
        <v>0</v>
      </c>
      <c r="H224" s="76">
        <f t="shared" si="83"/>
        <v>0</v>
      </c>
      <c r="I224" s="76">
        <f t="shared" si="83"/>
        <v>0</v>
      </c>
      <c r="J224" s="76">
        <f t="shared" si="83"/>
        <v>0</v>
      </c>
      <c r="K224" s="69"/>
      <c r="L224" s="69"/>
      <c r="M224" s="69"/>
      <c r="N224" s="69"/>
      <c r="O224" s="69"/>
      <c r="P224" s="69"/>
      <c r="Q224" s="69"/>
      <c r="R224" s="69"/>
      <c r="S224" s="69"/>
      <c r="T224" s="69"/>
      <c r="U224" s="69"/>
      <c r="V224" s="69"/>
      <c r="W224" s="69"/>
    </row>
    <row r="225" spans="1:23" ht="15.75" customHeight="1" x14ac:dyDescent="0.25">
      <c r="A225" s="74" t="str">
        <f t="shared" si="56"/>
        <v>Potato</v>
      </c>
      <c r="B225" s="74"/>
      <c r="C225" s="75"/>
      <c r="D225" s="76">
        <f t="shared" ref="D225:J225" si="84">C90*$C225*D$124</f>
        <v>0</v>
      </c>
      <c r="E225" s="76">
        <f t="shared" si="84"/>
        <v>0</v>
      </c>
      <c r="F225" s="76">
        <f t="shared" si="84"/>
        <v>0</v>
      </c>
      <c r="G225" s="76">
        <f t="shared" si="84"/>
        <v>0</v>
      </c>
      <c r="H225" s="76">
        <f t="shared" si="84"/>
        <v>0</v>
      </c>
      <c r="I225" s="76">
        <f t="shared" si="84"/>
        <v>0</v>
      </c>
      <c r="J225" s="76">
        <f t="shared" si="84"/>
        <v>0</v>
      </c>
      <c r="K225" s="69"/>
      <c r="L225" s="69"/>
      <c r="M225" s="69"/>
      <c r="N225" s="69"/>
      <c r="O225" s="69"/>
      <c r="P225" s="69"/>
      <c r="Q225" s="69"/>
      <c r="R225" s="69"/>
      <c r="S225" s="69"/>
      <c r="T225" s="69"/>
      <c r="U225" s="69"/>
      <c r="V225" s="69"/>
      <c r="W225" s="69"/>
    </row>
    <row r="226" spans="1:23" ht="15.75" customHeight="1" x14ac:dyDescent="0.25">
      <c r="A226" s="74">
        <f t="shared" si="56"/>
        <v>0</v>
      </c>
      <c r="B226" s="74"/>
      <c r="C226" s="75"/>
      <c r="D226" s="76">
        <f t="shared" ref="D226:J226" si="85">C91*$C226*D$124</f>
        <v>0</v>
      </c>
      <c r="E226" s="76">
        <f t="shared" si="85"/>
        <v>0</v>
      </c>
      <c r="F226" s="76">
        <f t="shared" si="85"/>
        <v>0</v>
      </c>
      <c r="G226" s="76">
        <f t="shared" si="85"/>
        <v>0</v>
      </c>
      <c r="H226" s="76">
        <f t="shared" si="85"/>
        <v>0</v>
      </c>
      <c r="I226" s="76">
        <f t="shared" si="85"/>
        <v>0</v>
      </c>
      <c r="J226" s="76">
        <f t="shared" si="85"/>
        <v>0</v>
      </c>
      <c r="K226" s="69"/>
      <c r="L226" s="69"/>
      <c r="M226" s="69"/>
      <c r="N226" s="69"/>
      <c r="O226" s="69"/>
      <c r="P226" s="69"/>
      <c r="Q226" s="69"/>
      <c r="R226" s="69"/>
      <c r="S226" s="69"/>
      <c r="T226" s="69"/>
      <c r="U226" s="69"/>
      <c r="V226" s="69"/>
      <c r="W226" s="69"/>
    </row>
    <row r="227" spans="1:23" ht="15.75" customHeight="1" x14ac:dyDescent="0.25">
      <c r="A227" s="74">
        <f t="shared" si="56"/>
        <v>0</v>
      </c>
      <c r="B227" s="74"/>
      <c r="C227" s="75"/>
      <c r="D227" s="76">
        <f t="shared" ref="D227:J227" si="86">C92*$C227*D$124</f>
        <v>0</v>
      </c>
      <c r="E227" s="76">
        <f t="shared" si="86"/>
        <v>0</v>
      </c>
      <c r="F227" s="76">
        <f t="shared" si="86"/>
        <v>0</v>
      </c>
      <c r="G227" s="76">
        <f t="shared" si="86"/>
        <v>0</v>
      </c>
      <c r="H227" s="76">
        <f t="shared" si="86"/>
        <v>0</v>
      </c>
      <c r="I227" s="76">
        <f t="shared" si="86"/>
        <v>0</v>
      </c>
      <c r="J227" s="76">
        <f t="shared" si="86"/>
        <v>0</v>
      </c>
      <c r="K227" s="69"/>
      <c r="L227" s="69"/>
      <c r="M227" s="69"/>
      <c r="N227" s="69"/>
      <c r="O227" s="69"/>
      <c r="P227" s="69"/>
      <c r="Q227" s="69"/>
      <c r="R227" s="69"/>
      <c r="S227" s="69"/>
      <c r="T227" s="69"/>
      <c r="U227" s="69"/>
      <c r="V227" s="69"/>
      <c r="W227" s="69"/>
    </row>
    <row r="228" spans="1:23" ht="15.75" customHeight="1" x14ac:dyDescent="0.25">
      <c r="A228" s="74">
        <f t="shared" si="56"/>
        <v>0</v>
      </c>
      <c r="B228" s="74"/>
      <c r="C228" s="75"/>
      <c r="D228" s="76">
        <f t="shared" ref="D228:J228" si="87">C93*$C228*D$124</f>
        <v>0</v>
      </c>
      <c r="E228" s="76">
        <f t="shared" si="87"/>
        <v>0</v>
      </c>
      <c r="F228" s="76">
        <f t="shared" si="87"/>
        <v>0</v>
      </c>
      <c r="G228" s="76">
        <f t="shared" si="87"/>
        <v>0</v>
      </c>
      <c r="H228" s="76">
        <f t="shared" si="87"/>
        <v>0</v>
      </c>
      <c r="I228" s="76">
        <f t="shared" si="87"/>
        <v>0</v>
      </c>
      <c r="J228" s="76">
        <f t="shared" si="87"/>
        <v>0</v>
      </c>
      <c r="K228" s="69"/>
      <c r="L228" s="69"/>
      <c r="M228" s="69"/>
      <c r="N228" s="69"/>
      <c r="O228" s="69"/>
      <c r="P228" s="69"/>
      <c r="Q228" s="69"/>
      <c r="R228" s="69"/>
      <c r="S228" s="69"/>
      <c r="T228" s="69"/>
      <c r="U228" s="69"/>
      <c r="V228" s="69"/>
      <c r="W228" s="69"/>
    </row>
    <row r="229" spans="1:23" ht="15.75" customHeight="1" x14ac:dyDescent="0.25">
      <c r="A229" s="74">
        <f t="shared" si="56"/>
        <v>0</v>
      </c>
      <c r="B229" s="74"/>
      <c r="C229" s="75"/>
      <c r="D229" s="76">
        <f t="shared" ref="D229:J229" si="88">C94*$C229*D$124</f>
        <v>0</v>
      </c>
      <c r="E229" s="76">
        <f t="shared" si="88"/>
        <v>0</v>
      </c>
      <c r="F229" s="76">
        <f t="shared" si="88"/>
        <v>0</v>
      </c>
      <c r="G229" s="76">
        <f t="shared" si="88"/>
        <v>0</v>
      </c>
      <c r="H229" s="76">
        <f t="shared" si="88"/>
        <v>0</v>
      </c>
      <c r="I229" s="76">
        <f t="shared" si="88"/>
        <v>0</v>
      </c>
      <c r="J229" s="76">
        <f t="shared" si="88"/>
        <v>0</v>
      </c>
      <c r="K229" s="69"/>
      <c r="L229" s="69"/>
      <c r="M229" s="69"/>
      <c r="N229" s="69"/>
      <c r="O229" s="69"/>
      <c r="P229" s="69"/>
      <c r="Q229" s="69"/>
      <c r="R229" s="69"/>
      <c r="S229" s="69"/>
      <c r="T229" s="69"/>
      <c r="U229" s="69"/>
      <c r="V229" s="69"/>
      <c r="W229" s="69"/>
    </row>
    <row r="230" spans="1:23" ht="15.75" customHeight="1" x14ac:dyDescent="0.25">
      <c r="A230" s="74" t="str">
        <f t="shared" si="56"/>
        <v>Onion</v>
      </c>
      <c r="B230" s="74"/>
      <c r="C230" s="75"/>
      <c r="D230" s="76">
        <f t="shared" ref="D230:J230" si="89">C95*$C230*D$124</f>
        <v>0</v>
      </c>
      <c r="E230" s="76">
        <f t="shared" si="89"/>
        <v>0</v>
      </c>
      <c r="F230" s="76">
        <f t="shared" si="89"/>
        <v>0</v>
      </c>
      <c r="G230" s="76">
        <f t="shared" si="89"/>
        <v>0</v>
      </c>
      <c r="H230" s="76">
        <f t="shared" si="89"/>
        <v>0</v>
      </c>
      <c r="I230" s="76">
        <f t="shared" si="89"/>
        <v>0</v>
      </c>
      <c r="J230" s="76">
        <f t="shared" si="89"/>
        <v>0</v>
      </c>
      <c r="K230" s="69"/>
      <c r="L230" s="69"/>
      <c r="M230" s="69"/>
      <c r="N230" s="69"/>
      <c r="O230" s="69"/>
      <c r="P230" s="69"/>
      <c r="Q230" s="69"/>
      <c r="R230" s="69"/>
      <c r="S230" s="69"/>
      <c r="T230" s="69"/>
      <c r="U230" s="69"/>
      <c r="V230" s="69"/>
      <c r="W230" s="69"/>
    </row>
    <row r="231" spans="1:23" ht="15.75" customHeight="1" x14ac:dyDescent="0.25">
      <c r="A231" s="74" t="str">
        <f t="shared" si="56"/>
        <v>Tomato</v>
      </c>
      <c r="B231" s="74"/>
      <c r="C231" s="75"/>
      <c r="D231" s="76">
        <f t="shared" ref="D231:J231" si="90">C96*$C231*D$124</f>
        <v>0</v>
      </c>
      <c r="E231" s="76">
        <f t="shared" si="90"/>
        <v>0</v>
      </c>
      <c r="F231" s="76">
        <f t="shared" si="90"/>
        <v>0</v>
      </c>
      <c r="G231" s="76">
        <f t="shared" si="90"/>
        <v>0</v>
      </c>
      <c r="H231" s="76">
        <f t="shared" si="90"/>
        <v>0</v>
      </c>
      <c r="I231" s="76">
        <f t="shared" si="90"/>
        <v>0</v>
      </c>
      <c r="J231" s="76">
        <f t="shared" si="90"/>
        <v>0</v>
      </c>
      <c r="K231" s="69"/>
      <c r="L231" s="69"/>
      <c r="M231" s="69"/>
      <c r="N231" s="69"/>
      <c r="O231" s="69"/>
      <c r="P231" s="69"/>
      <c r="Q231" s="69"/>
      <c r="R231" s="69"/>
      <c r="S231" s="69"/>
      <c r="T231" s="69"/>
      <c r="U231" s="69"/>
      <c r="V231" s="69"/>
      <c r="W231" s="69"/>
    </row>
    <row r="232" spans="1:23" ht="15.75" customHeight="1" x14ac:dyDescent="0.25">
      <c r="A232" s="74" t="str">
        <f t="shared" si="56"/>
        <v>Okra</v>
      </c>
      <c r="B232" s="74"/>
      <c r="C232" s="75"/>
      <c r="D232" s="76">
        <f t="shared" ref="D232:J232" si="91">C97*$C232*D$124</f>
        <v>0</v>
      </c>
      <c r="E232" s="76">
        <f t="shared" si="91"/>
        <v>0</v>
      </c>
      <c r="F232" s="76">
        <f t="shared" si="91"/>
        <v>0</v>
      </c>
      <c r="G232" s="76">
        <f t="shared" si="91"/>
        <v>0</v>
      </c>
      <c r="H232" s="76">
        <f t="shared" si="91"/>
        <v>0</v>
      </c>
      <c r="I232" s="76">
        <f t="shared" si="91"/>
        <v>0</v>
      </c>
      <c r="J232" s="76">
        <f t="shared" si="91"/>
        <v>0</v>
      </c>
      <c r="K232" s="69"/>
      <c r="L232" s="69"/>
      <c r="M232" s="69"/>
      <c r="N232" s="69"/>
      <c r="O232" s="69"/>
      <c r="P232" s="69"/>
      <c r="Q232" s="69"/>
      <c r="R232" s="69"/>
      <c r="S232" s="69"/>
      <c r="T232" s="69"/>
      <c r="U232" s="69"/>
      <c r="V232" s="69"/>
      <c r="W232" s="69"/>
    </row>
    <row r="233" spans="1:23" ht="15.75" customHeight="1" x14ac:dyDescent="0.25">
      <c r="A233" s="74" t="str">
        <f t="shared" si="56"/>
        <v>Chilli</v>
      </c>
      <c r="B233" s="74"/>
      <c r="C233" s="75"/>
      <c r="D233" s="76">
        <f t="shared" ref="D233:J233" si="92">C98*$C233*D$124</f>
        <v>0</v>
      </c>
      <c r="E233" s="76">
        <f t="shared" si="92"/>
        <v>0</v>
      </c>
      <c r="F233" s="76">
        <f t="shared" si="92"/>
        <v>0</v>
      </c>
      <c r="G233" s="76">
        <f t="shared" si="92"/>
        <v>0</v>
      </c>
      <c r="H233" s="76">
        <f t="shared" si="92"/>
        <v>0</v>
      </c>
      <c r="I233" s="76">
        <f t="shared" si="92"/>
        <v>0</v>
      </c>
      <c r="J233" s="76">
        <f t="shared" si="92"/>
        <v>0</v>
      </c>
      <c r="K233" s="69"/>
      <c r="L233" s="69"/>
      <c r="M233" s="69"/>
      <c r="N233" s="69"/>
      <c r="O233" s="69"/>
      <c r="P233" s="69"/>
      <c r="Q233" s="69"/>
      <c r="R233" s="69"/>
      <c r="S233" s="69"/>
      <c r="T233" s="69"/>
      <c r="U233" s="69"/>
      <c r="V233" s="69"/>
      <c r="W233" s="69"/>
    </row>
    <row r="234" spans="1:23" ht="15.75" customHeight="1" x14ac:dyDescent="0.25">
      <c r="A234" s="74" t="str">
        <f t="shared" si="56"/>
        <v>Brinjal</v>
      </c>
      <c r="B234" s="74"/>
      <c r="C234" s="75"/>
      <c r="D234" s="76">
        <f t="shared" ref="D234:J234" si="93">C99*$C234*D$124</f>
        <v>0</v>
      </c>
      <c r="E234" s="76">
        <f t="shared" si="93"/>
        <v>0</v>
      </c>
      <c r="F234" s="76">
        <f t="shared" si="93"/>
        <v>0</v>
      </c>
      <c r="G234" s="76">
        <f t="shared" si="93"/>
        <v>0</v>
      </c>
      <c r="H234" s="76">
        <f t="shared" si="93"/>
        <v>0</v>
      </c>
      <c r="I234" s="76">
        <f t="shared" si="93"/>
        <v>0</v>
      </c>
      <c r="J234" s="76">
        <f t="shared" si="93"/>
        <v>0</v>
      </c>
      <c r="K234" s="69"/>
      <c r="L234" s="69"/>
      <c r="M234" s="69"/>
      <c r="N234" s="69"/>
      <c r="O234" s="69"/>
      <c r="P234" s="69"/>
      <c r="Q234" s="69"/>
      <c r="R234" s="69"/>
      <c r="S234" s="69"/>
      <c r="T234" s="69"/>
      <c r="U234" s="69"/>
      <c r="V234" s="69"/>
      <c r="W234" s="69"/>
    </row>
    <row r="235" spans="1:23" ht="15.75" customHeight="1" x14ac:dyDescent="0.25">
      <c r="A235" s="74">
        <f t="shared" si="56"/>
        <v>0</v>
      </c>
      <c r="B235" s="74"/>
      <c r="C235" s="75"/>
      <c r="D235" s="76">
        <f t="shared" ref="D235:J235" si="94">C100*$C235*D$124</f>
        <v>0</v>
      </c>
      <c r="E235" s="76">
        <f t="shared" si="94"/>
        <v>0</v>
      </c>
      <c r="F235" s="76">
        <f t="shared" si="94"/>
        <v>0</v>
      </c>
      <c r="G235" s="76">
        <f t="shared" si="94"/>
        <v>0</v>
      </c>
      <c r="H235" s="76">
        <f t="shared" si="94"/>
        <v>0</v>
      </c>
      <c r="I235" s="76">
        <f t="shared" si="94"/>
        <v>0</v>
      </c>
      <c r="J235" s="76">
        <f t="shared" si="94"/>
        <v>0</v>
      </c>
      <c r="K235" s="69"/>
      <c r="L235" s="69"/>
      <c r="M235" s="69"/>
      <c r="N235" s="69"/>
      <c r="O235" s="69"/>
      <c r="P235" s="69"/>
      <c r="Q235" s="69"/>
      <c r="R235" s="69"/>
      <c r="S235" s="69"/>
      <c r="T235" s="69"/>
      <c r="U235" s="69"/>
      <c r="V235" s="69"/>
      <c r="W235" s="69"/>
    </row>
    <row r="236" spans="1:23" ht="15.75" customHeight="1" x14ac:dyDescent="0.25">
      <c r="A236" s="74">
        <f t="shared" si="56"/>
        <v>0</v>
      </c>
      <c r="B236" s="74"/>
      <c r="C236" s="75"/>
      <c r="D236" s="76">
        <f t="shared" ref="D236:J236" si="95">C101*$C236*D$124</f>
        <v>0</v>
      </c>
      <c r="E236" s="76">
        <f t="shared" si="95"/>
        <v>0</v>
      </c>
      <c r="F236" s="76">
        <f t="shared" si="95"/>
        <v>0</v>
      </c>
      <c r="G236" s="76">
        <f t="shared" si="95"/>
        <v>0</v>
      </c>
      <c r="H236" s="76">
        <f t="shared" si="95"/>
        <v>0</v>
      </c>
      <c r="I236" s="76">
        <f t="shared" si="95"/>
        <v>0</v>
      </c>
      <c r="J236" s="76">
        <f t="shared" si="95"/>
        <v>0</v>
      </c>
      <c r="K236" s="69"/>
      <c r="L236" s="69"/>
      <c r="M236" s="69"/>
      <c r="N236" s="69"/>
      <c r="O236" s="69"/>
      <c r="P236" s="69"/>
      <c r="Q236" s="69"/>
      <c r="R236" s="69"/>
      <c r="S236" s="69"/>
      <c r="T236" s="69"/>
      <c r="U236" s="69"/>
      <c r="V236" s="69"/>
      <c r="W236" s="69"/>
    </row>
    <row r="237" spans="1:23" ht="15.75" customHeight="1" x14ac:dyDescent="0.25">
      <c r="A237" s="74">
        <f t="shared" si="56"/>
        <v>0</v>
      </c>
      <c r="B237" s="74"/>
      <c r="C237" s="75"/>
      <c r="D237" s="76">
        <f t="shared" ref="D237:J237" si="96">C102*$C237*D$124</f>
        <v>0</v>
      </c>
      <c r="E237" s="76">
        <f t="shared" si="96"/>
        <v>0</v>
      </c>
      <c r="F237" s="76">
        <f t="shared" si="96"/>
        <v>0</v>
      </c>
      <c r="G237" s="76">
        <f t="shared" si="96"/>
        <v>0</v>
      </c>
      <c r="H237" s="76">
        <f t="shared" si="96"/>
        <v>0</v>
      </c>
      <c r="I237" s="76">
        <f t="shared" si="96"/>
        <v>0</v>
      </c>
      <c r="J237" s="76">
        <f t="shared" si="96"/>
        <v>0</v>
      </c>
      <c r="K237" s="69"/>
      <c r="L237" s="69"/>
      <c r="M237" s="69"/>
      <c r="N237" s="69"/>
      <c r="O237" s="69"/>
      <c r="P237" s="69"/>
      <c r="Q237" s="69"/>
      <c r="R237" s="69"/>
      <c r="S237" s="69"/>
      <c r="T237" s="69"/>
      <c r="U237" s="69"/>
      <c r="V237" s="69"/>
      <c r="W237" s="69"/>
    </row>
    <row r="238" spans="1:23" ht="15.75" customHeight="1" x14ac:dyDescent="0.25">
      <c r="A238" s="74">
        <f t="shared" si="56"/>
        <v>0</v>
      </c>
      <c r="B238" s="74"/>
      <c r="C238" s="75"/>
      <c r="D238" s="76">
        <f t="shared" ref="D238:J238" si="97">C103*$C238*D$124</f>
        <v>0</v>
      </c>
      <c r="E238" s="76">
        <f t="shared" si="97"/>
        <v>0</v>
      </c>
      <c r="F238" s="76">
        <f t="shared" si="97"/>
        <v>0</v>
      </c>
      <c r="G238" s="76">
        <f t="shared" si="97"/>
        <v>0</v>
      </c>
      <c r="H238" s="76">
        <f t="shared" si="97"/>
        <v>0</v>
      </c>
      <c r="I238" s="76">
        <f t="shared" si="97"/>
        <v>0</v>
      </c>
      <c r="J238" s="76">
        <f t="shared" si="97"/>
        <v>0</v>
      </c>
      <c r="K238" s="69"/>
      <c r="L238" s="69"/>
      <c r="M238" s="69"/>
      <c r="N238" s="69"/>
      <c r="O238" s="69"/>
      <c r="P238" s="69"/>
      <c r="Q238" s="69"/>
      <c r="R238" s="69"/>
      <c r="S238" s="69"/>
      <c r="T238" s="69"/>
      <c r="U238" s="69"/>
      <c r="V238" s="69"/>
      <c r="W238" s="69"/>
    </row>
    <row r="239" spans="1:23" ht="15.75" customHeight="1" x14ac:dyDescent="0.25">
      <c r="A239" s="74" t="str">
        <f t="shared" ref="A239:A243" si="98">A175</f>
        <v>Pomegranate</v>
      </c>
      <c r="B239" s="74"/>
      <c r="C239" s="75"/>
      <c r="D239" s="76">
        <f t="shared" ref="D239:J239" si="99">C107*$C239*D$124</f>
        <v>0</v>
      </c>
      <c r="E239" s="76">
        <f t="shared" si="99"/>
        <v>0</v>
      </c>
      <c r="F239" s="76">
        <f t="shared" si="99"/>
        <v>0</v>
      </c>
      <c r="G239" s="76">
        <f t="shared" si="99"/>
        <v>0</v>
      </c>
      <c r="H239" s="76">
        <f t="shared" si="99"/>
        <v>0</v>
      </c>
      <c r="I239" s="76">
        <f t="shared" si="99"/>
        <v>0</v>
      </c>
      <c r="J239" s="76">
        <f t="shared" si="99"/>
        <v>0</v>
      </c>
      <c r="K239" s="69"/>
      <c r="L239" s="69"/>
      <c r="M239" s="69"/>
      <c r="N239" s="69"/>
      <c r="O239" s="69"/>
      <c r="P239" s="69"/>
      <c r="Q239" s="69"/>
      <c r="R239" s="69"/>
      <c r="S239" s="69"/>
      <c r="T239" s="69"/>
      <c r="U239" s="69"/>
      <c r="V239" s="69"/>
      <c r="W239" s="69"/>
    </row>
    <row r="240" spans="1:23" ht="15.75" customHeight="1" x14ac:dyDescent="0.25">
      <c r="A240" s="74" t="str">
        <f t="shared" si="98"/>
        <v>Custard Apple</v>
      </c>
      <c r="B240" s="74"/>
      <c r="C240" s="75"/>
      <c r="D240" s="76">
        <f t="shared" ref="D240:J240" si="100">C108*$C240*D$124</f>
        <v>0</v>
      </c>
      <c r="E240" s="76">
        <f t="shared" si="100"/>
        <v>0</v>
      </c>
      <c r="F240" s="76">
        <f t="shared" si="100"/>
        <v>0</v>
      </c>
      <c r="G240" s="76">
        <f t="shared" si="100"/>
        <v>0</v>
      </c>
      <c r="H240" s="76">
        <f t="shared" si="100"/>
        <v>0</v>
      </c>
      <c r="I240" s="76">
        <f t="shared" si="100"/>
        <v>0</v>
      </c>
      <c r="J240" s="76">
        <f t="shared" si="100"/>
        <v>0</v>
      </c>
      <c r="K240" s="69"/>
      <c r="L240" s="69"/>
      <c r="M240" s="69"/>
      <c r="N240" s="69"/>
      <c r="O240" s="69"/>
      <c r="P240" s="69"/>
      <c r="Q240" s="69"/>
      <c r="R240" s="69"/>
      <c r="S240" s="69"/>
      <c r="T240" s="69"/>
      <c r="U240" s="69"/>
      <c r="V240" s="69"/>
      <c r="W240" s="69"/>
    </row>
    <row r="241" spans="1:23" ht="15.75" customHeight="1" x14ac:dyDescent="0.25">
      <c r="A241" s="74" t="str">
        <f t="shared" si="98"/>
        <v>Guava</v>
      </c>
      <c r="B241" s="74"/>
      <c r="C241" s="75"/>
      <c r="D241" s="76">
        <f t="shared" ref="D241:J241" si="101">C109*$C241*D$124</f>
        <v>0</v>
      </c>
      <c r="E241" s="76">
        <f t="shared" si="101"/>
        <v>0</v>
      </c>
      <c r="F241" s="76">
        <f t="shared" si="101"/>
        <v>0</v>
      </c>
      <c r="G241" s="76">
        <f t="shared" si="101"/>
        <v>0</v>
      </c>
      <c r="H241" s="76">
        <f t="shared" si="101"/>
        <v>0</v>
      </c>
      <c r="I241" s="76">
        <f t="shared" si="101"/>
        <v>0</v>
      </c>
      <c r="J241" s="76">
        <f t="shared" si="101"/>
        <v>0</v>
      </c>
      <c r="K241" s="69"/>
      <c r="L241" s="69"/>
      <c r="M241" s="69"/>
      <c r="N241" s="69"/>
      <c r="O241" s="69"/>
      <c r="P241" s="69"/>
      <c r="Q241" s="69"/>
      <c r="R241" s="69"/>
      <c r="S241" s="69"/>
      <c r="T241" s="69"/>
      <c r="U241" s="69"/>
      <c r="V241" s="69"/>
      <c r="W241" s="69"/>
    </row>
    <row r="242" spans="1:23" ht="15.75" customHeight="1" x14ac:dyDescent="0.25">
      <c r="A242" s="74" t="str">
        <f t="shared" si="98"/>
        <v>Citrus</v>
      </c>
      <c r="B242" s="74"/>
      <c r="C242" s="75"/>
      <c r="D242" s="76">
        <f t="shared" ref="D242:J242" si="102">C110*$C242*D$124</f>
        <v>0</v>
      </c>
      <c r="E242" s="76">
        <f t="shared" si="102"/>
        <v>0</v>
      </c>
      <c r="F242" s="76">
        <f t="shared" si="102"/>
        <v>0</v>
      </c>
      <c r="G242" s="76">
        <f t="shared" si="102"/>
        <v>0</v>
      </c>
      <c r="H242" s="76">
        <f t="shared" si="102"/>
        <v>0</v>
      </c>
      <c r="I242" s="76">
        <f t="shared" si="102"/>
        <v>0</v>
      </c>
      <c r="J242" s="76">
        <f t="shared" si="102"/>
        <v>0</v>
      </c>
      <c r="K242" s="69"/>
      <c r="L242" s="69"/>
      <c r="M242" s="69"/>
      <c r="N242" s="69"/>
      <c r="O242" s="69"/>
      <c r="P242" s="69"/>
      <c r="Q242" s="69"/>
      <c r="R242" s="69"/>
      <c r="S242" s="69"/>
      <c r="T242" s="69"/>
      <c r="U242" s="69"/>
      <c r="V242" s="69"/>
      <c r="W242" s="69"/>
    </row>
    <row r="243" spans="1:23" ht="15.75" customHeight="1" x14ac:dyDescent="0.25">
      <c r="A243" s="74">
        <f t="shared" si="98"/>
        <v>0</v>
      </c>
      <c r="B243" s="74"/>
      <c r="C243" s="75"/>
      <c r="D243" s="76">
        <f t="shared" ref="D243:J243" si="103">C111*$C243*D$124</f>
        <v>0</v>
      </c>
      <c r="E243" s="76">
        <f t="shared" si="103"/>
        <v>0</v>
      </c>
      <c r="F243" s="76">
        <f t="shared" si="103"/>
        <v>0</v>
      </c>
      <c r="G243" s="76">
        <f t="shared" si="103"/>
        <v>0</v>
      </c>
      <c r="H243" s="76">
        <f t="shared" si="103"/>
        <v>0</v>
      </c>
      <c r="I243" s="76">
        <f t="shared" si="103"/>
        <v>0</v>
      </c>
      <c r="J243" s="76">
        <f t="shared" si="103"/>
        <v>0</v>
      </c>
      <c r="K243" s="69"/>
      <c r="L243" s="69"/>
      <c r="M243" s="69"/>
      <c r="N243" s="69"/>
      <c r="O243" s="69"/>
      <c r="P243" s="69"/>
      <c r="Q243" s="69"/>
      <c r="R243" s="69"/>
      <c r="S243" s="69"/>
      <c r="T243" s="69"/>
      <c r="U243" s="69"/>
      <c r="V243" s="69"/>
      <c r="W243" s="69"/>
    </row>
    <row r="244" spans="1:23" ht="15.75" customHeight="1" x14ac:dyDescent="0.25">
      <c r="A244" s="74" t="str">
        <f t="shared" ref="A244:A247" si="104">A181</f>
        <v>Fertilizer(Rate/KG)</v>
      </c>
      <c r="B244" s="74"/>
      <c r="C244" s="76"/>
      <c r="D244" s="76"/>
      <c r="E244" s="76"/>
      <c r="F244" s="76"/>
      <c r="G244" s="76"/>
      <c r="H244" s="76"/>
      <c r="I244" s="76"/>
      <c r="J244" s="76"/>
      <c r="K244" s="69"/>
      <c r="L244" s="69"/>
      <c r="M244" s="69"/>
      <c r="N244" s="69"/>
      <c r="O244" s="69"/>
      <c r="P244" s="69"/>
      <c r="Q244" s="69"/>
      <c r="R244" s="69"/>
      <c r="S244" s="69"/>
      <c r="T244" s="69"/>
      <c r="U244" s="69"/>
      <c r="V244" s="69"/>
      <c r="W244" s="69"/>
    </row>
    <row r="245" spans="1:23" ht="15.75" customHeight="1" x14ac:dyDescent="0.25">
      <c r="A245" s="74" t="str">
        <f t="shared" si="104"/>
        <v>SSP</v>
      </c>
      <c r="B245" s="74"/>
      <c r="C245" s="75"/>
      <c r="D245" s="76">
        <f>C114*$C$245*D124</f>
        <v>0</v>
      </c>
      <c r="E245" s="76">
        <f t="shared" ref="E245:J245" si="105">D114*$C$245*E124</f>
        <v>0</v>
      </c>
      <c r="F245" s="76">
        <f t="shared" si="105"/>
        <v>0</v>
      </c>
      <c r="G245" s="76">
        <f t="shared" si="105"/>
        <v>0</v>
      </c>
      <c r="H245" s="76">
        <f t="shared" si="105"/>
        <v>0</v>
      </c>
      <c r="I245" s="76">
        <f t="shared" si="105"/>
        <v>0</v>
      </c>
      <c r="J245" s="76">
        <f t="shared" si="105"/>
        <v>0</v>
      </c>
      <c r="K245" s="69"/>
      <c r="L245" s="69"/>
      <c r="M245" s="69"/>
      <c r="N245" s="69"/>
      <c r="O245" s="69"/>
      <c r="P245" s="69"/>
      <c r="Q245" s="69"/>
      <c r="R245" s="69"/>
      <c r="S245" s="69"/>
      <c r="T245" s="69"/>
      <c r="U245" s="69"/>
      <c r="V245" s="69"/>
      <c r="W245" s="69"/>
    </row>
    <row r="246" spans="1:23" ht="15.75" customHeight="1" x14ac:dyDescent="0.25">
      <c r="A246" s="74" t="str">
        <f t="shared" si="104"/>
        <v>Urea</v>
      </c>
      <c r="B246" s="74"/>
      <c r="C246" s="75">
        <v>7</v>
      </c>
      <c r="D246" s="76">
        <f t="shared" ref="D246:J246" si="106">C115*$C$246*D124</f>
        <v>1029000</v>
      </c>
      <c r="E246" s="76">
        <f t="shared" si="106"/>
        <v>1350562.5</v>
      </c>
      <c r="F246" s="76">
        <f t="shared" si="106"/>
        <v>1701708.75</v>
      </c>
      <c r="G246" s="76">
        <f t="shared" si="106"/>
        <v>2084593.2187500002</v>
      </c>
      <c r="H246" s="76">
        <f t="shared" si="106"/>
        <v>2501511.8625000003</v>
      </c>
      <c r="I246" s="76">
        <f t="shared" si="106"/>
        <v>2954910.887578126</v>
      </c>
      <c r="J246" s="76">
        <f t="shared" si="106"/>
        <v>3447396.0355078136</v>
      </c>
      <c r="K246" s="69"/>
      <c r="L246" s="69"/>
      <c r="M246" s="69"/>
      <c r="N246" s="69"/>
      <c r="O246" s="69"/>
      <c r="P246" s="69"/>
      <c r="Q246" s="69"/>
      <c r="R246" s="69"/>
      <c r="S246" s="69"/>
      <c r="T246" s="69"/>
      <c r="U246" s="69"/>
      <c r="V246" s="69"/>
      <c r="W246" s="69"/>
    </row>
    <row r="247" spans="1:23" ht="15.75" customHeight="1" x14ac:dyDescent="0.25">
      <c r="A247" s="74" t="str">
        <f t="shared" si="104"/>
        <v>DAP</v>
      </c>
      <c r="B247" s="74"/>
      <c r="C247" s="75"/>
      <c r="D247" s="76">
        <f t="shared" ref="D247:J247" si="107">C116*$C$247*D124</f>
        <v>0</v>
      </c>
      <c r="E247" s="76">
        <f t="shared" si="107"/>
        <v>0</v>
      </c>
      <c r="F247" s="76">
        <f t="shared" si="107"/>
        <v>0</v>
      </c>
      <c r="G247" s="76">
        <f t="shared" si="107"/>
        <v>0</v>
      </c>
      <c r="H247" s="76">
        <f t="shared" si="107"/>
        <v>0</v>
      </c>
      <c r="I247" s="76">
        <f t="shared" si="107"/>
        <v>0</v>
      </c>
      <c r="J247" s="76">
        <f t="shared" si="107"/>
        <v>0</v>
      </c>
      <c r="K247" s="69"/>
      <c r="L247" s="69"/>
      <c r="M247" s="69"/>
      <c r="N247" s="69"/>
      <c r="O247" s="69"/>
      <c r="P247" s="69"/>
      <c r="Q247" s="69"/>
      <c r="R247" s="69"/>
      <c r="S247" s="69"/>
      <c r="T247" s="69"/>
      <c r="U247" s="69"/>
      <c r="V247" s="69"/>
      <c r="W247" s="69"/>
    </row>
    <row r="248" spans="1:23" ht="15.75" customHeight="1" x14ac:dyDescent="0.25">
      <c r="A248" s="74"/>
      <c r="B248" s="74"/>
      <c r="C248" s="76"/>
      <c r="D248" s="76"/>
      <c r="E248" s="76"/>
      <c r="F248" s="76"/>
      <c r="G248" s="76"/>
      <c r="H248" s="76"/>
      <c r="I248" s="76"/>
      <c r="J248" s="76"/>
      <c r="K248" s="69"/>
      <c r="L248" s="69"/>
      <c r="M248" s="69"/>
      <c r="N248" s="69"/>
      <c r="O248" s="69"/>
      <c r="P248" s="69"/>
      <c r="Q248" s="69"/>
      <c r="R248" s="69"/>
      <c r="S248" s="69"/>
      <c r="T248" s="69"/>
      <c r="U248" s="69"/>
      <c r="V248" s="69"/>
      <c r="W248" s="69"/>
    </row>
    <row r="249" spans="1:23" ht="15.75" customHeight="1" x14ac:dyDescent="0.25">
      <c r="A249" s="74" t="str">
        <f t="shared" ref="A249:A251" si="108">A186</f>
        <v>Pesticide</v>
      </c>
      <c r="B249" s="74"/>
      <c r="C249" s="76"/>
      <c r="D249" s="76"/>
      <c r="E249" s="76"/>
      <c r="F249" s="76"/>
      <c r="G249" s="76"/>
      <c r="H249" s="76"/>
      <c r="I249" s="76"/>
      <c r="J249" s="76"/>
      <c r="K249" s="69"/>
      <c r="L249" s="69"/>
      <c r="M249" s="69"/>
      <c r="N249" s="69"/>
      <c r="O249" s="69"/>
      <c r="P249" s="69"/>
      <c r="Q249" s="69"/>
      <c r="R249" s="69"/>
      <c r="S249" s="69"/>
      <c r="T249" s="69"/>
      <c r="U249" s="69"/>
      <c r="V249" s="69"/>
      <c r="W249" s="69"/>
    </row>
    <row r="250" spans="1:23" ht="15.75" customHeight="1" x14ac:dyDescent="0.25">
      <c r="A250" s="305" t="s">
        <v>726</v>
      </c>
      <c r="B250" s="74"/>
      <c r="C250" s="75">
        <v>600</v>
      </c>
      <c r="D250" s="76">
        <f t="shared" ref="D250:J250" si="109">C118*$C$250*D124</f>
        <v>294000</v>
      </c>
      <c r="E250" s="76">
        <f t="shared" si="109"/>
        <v>385875</v>
      </c>
      <c r="F250" s="76">
        <f t="shared" si="109"/>
        <v>486202.5</v>
      </c>
      <c r="G250" s="76">
        <f t="shared" si="109"/>
        <v>595598.06250000012</v>
      </c>
      <c r="H250" s="76">
        <f t="shared" si="109"/>
        <v>714717.67500000016</v>
      </c>
      <c r="I250" s="76">
        <f t="shared" si="109"/>
        <v>844260.25359375018</v>
      </c>
      <c r="J250" s="76">
        <f t="shared" si="109"/>
        <v>984970.29585937527</v>
      </c>
      <c r="K250" s="69"/>
      <c r="L250" s="69"/>
      <c r="M250" s="69"/>
      <c r="N250" s="69"/>
      <c r="O250" s="69"/>
      <c r="P250" s="69"/>
      <c r="Q250" s="69"/>
      <c r="R250" s="69"/>
      <c r="S250" s="69"/>
      <c r="T250" s="69"/>
      <c r="U250" s="69"/>
      <c r="V250" s="69"/>
      <c r="W250" s="69"/>
    </row>
    <row r="251" spans="1:23" ht="15.75" customHeight="1" x14ac:dyDescent="0.25">
      <c r="A251" s="74" t="str">
        <f t="shared" si="108"/>
        <v>Confidor Boyer</v>
      </c>
      <c r="B251" s="74"/>
      <c r="C251" s="75"/>
      <c r="D251" s="76">
        <f t="shared" ref="D251:J251" si="110">C119*$C$251*D124</f>
        <v>0</v>
      </c>
      <c r="E251" s="76">
        <f t="shared" si="110"/>
        <v>0</v>
      </c>
      <c r="F251" s="76">
        <f t="shared" si="110"/>
        <v>0</v>
      </c>
      <c r="G251" s="76">
        <f t="shared" si="110"/>
        <v>0</v>
      </c>
      <c r="H251" s="76">
        <f t="shared" si="110"/>
        <v>0</v>
      </c>
      <c r="I251" s="76">
        <f t="shared" si="110"/>
        <v>0</v>
      </c>
      <c r="J251" s="76">
        <f t="shared" si="110"/>
        <v>0</v>
      </c>
      <c r="K251" s="69"/>
      <c r="L251" s="69"/>
      <c r="M251" s="69"/>
      <c r="N251" s="69"/>
      <c r="O251" s="69"/>
      <c r="P251" s="69"/>
      <c r="Q251" s="69"/>
      <c r="R251" s="69"/>
      <c r="S251" s="69"/>
      <c r="T251" s="69"/>
      <c r="U251" s="69"/>
      <c r="V251" s="69"/>
      <c r="W251" s="69"/>
    </row>
    <row r="252" spans="1:23" ht="15.75" customHeight="1" x14ac:dyDescent="0.25">
      <c r="A252" s="74"/>
      <c r="B252" s="74"/>
      <c r="C252" s="76"/>
      <c r="D252" s="76"/>
      <c r="E252" s="76"/>
      <c r="F252" s="76"/>
      <c r="G252" s="76"/>
      <c r="H252" s="76"/>
      <c r="I252" s="76"/>
      <c r="J252" s="76"/>
      <c r="K252" s="69"/>
      <c r="L252" s="69"/>
      <c r="M252" s="69"/>
      <c r="N252" s="69"/>
      <c r="O252" s="69"/>
      <c r="P252" s="69"/>
      <c r="Q252" s="69"/>
      <c r="R252" s="69"/>
      <c r="S252" s="69"/>
      <c r="T252" s="69"/>
      <c r="U252" s="69"/>
      <c r="V252" s="69"/>
      <c r="W252" s="69"/>
    </row>
    <row r="253" spans="1:23" ht="15.75" customHeight="1" x14ac:dyDescent="0.25">
      <c r="A253" s="74" t="s">
        <v>680</v>
      </c>
      <c r="B253" s="74"/>
      <c r="C253" s="75">
        <v>15</v>
      </c>
      <c r="D253" s="76">
        <f t="shared" ref="D253:J253" si="111">(SUM(C63:C119)/50)*$C$253*D124</f>
        <v>44394</v>
      </c>
      <c r="E253" s="76">
        <f t="shared" si="111"/>
        <v>58267.125</v>
      </c>
      <c r="F253" s="76">
        <f t="shared" si="111"/>
        <v>73416.577499999999</v>
      </c>
      <c r="G253" s="76">
        <f t="shared" si="111"/>
        <v>89935.307437500014</v>
      </c>
      <c r="H253" s="76">
        <f t="shared" si="111"/>
        <v>107922.36892500002</v>
      </c>
      <c r="I253" s="76">
        <f t="shared" si="111"/>
        <v>127483.29829265628</v>
      </c>
      <c r="J253" s="76">
        <f t="shared" si="111"/>
        <v>148730.51467476567</v>
      </c>
      <c r="K253" s="69"/>
      <c r="L253" s="69"/>
      <c r="M253" s="69"/>
      <c r="N253" s="69"/>
      <c r="O253" s="69"/>
      <c r="P253" s="69"/>
      <c r="Q253" s="69"/>
      <c r="R253" s="69"/>
      <c r="S253" s="69"/>
      <c r="T253" s="69"/>
      <c r="U253" s="69"/>
      <c r="V253" s="69"/>
      <c r="W253" s="69"/>
    </row>
    <row r="254" spans="1:23" ht="15.75" customHeight="1" x14ac:dyDescent="0.25">
      <c r="A254" s="74" t="s">
        <v>681</v>
      </c>
      <c r="B254" s="74"/>
      <c r="C254" s="75">
        <v>130</v>
      </c>
      <c r="D254" s="76">
        <f t="shared" ref="D254:J254" si="112">(SUM(C63:C119)/50)*$C$254*D124</f>
        <v>384748</v>
      </c>
      <c r="E254" s="76">
        <f t="shared" si="112"/>
        <v>504981.75</v>
      </c>
      <c r="F254" s="76">
        <f t="shared" si="112"/>
        <v>636277.005</v>
      </c>
      <c r="G254" s="76">
        <f t="shared" si="112"/>
        <v>779439.33112500014</v>
      </c>
      <c r="H254" s="76">
        <f t="shared" si="112"/>
        <v>935327.19735000015</v>
      </c>
      <c r="I254" s="76">
        <f t="shared" si="112"/>
        <v>1104855.2518696878</v>
      </c>
      <c r="J254" s="76">
        <f t="shared" si="112"/>
        <v>1288997.7938479693</v>
      </c>
      <c r="K254" s="69"/>
      <c r="L254" s="69"/>
      <c r="M254" s="69"/>
      <c r="N254" s="69"/>
      <c r="O254" s="69"/>
      <c r="P254" s="69"/>
      <c r="Q254" s="69"/>
      <c r="R254" s="69"/>
      <c r="S254" s="69"/>
      <c r="T254" s="69"/>
      <c r="U254" s="69"/>
      <c r="V254" s="69"/>
      <c r="W254" s="69"/>
    </row>
    <row r="255" spans="1:23" ht="15.75" customHeight="1" x14ac:dyDescent="0.25">
      <c r="A255" s="74"/>
      <c r="B255" s="74"/>
      <c r="C255" s="75"/>
      <c r="D255" s="285"/>
      <c r="E255" s="76"/>
      <c r="F255" s="76"/>
      <c r="G255" s="76"/>
      <c r="H255" s="76"/>
      <c r="I255" s="76"/>
      <c r="J255" s="76"/>
      <c r="K255" s="69"/>
      <c r="L255" s="69"/>
      <c r="M255" s="69"/>
      <c r="N255" s="69"/>
      <c r="O255" s="69"/>
      <c r="P255" s="69"/>
      <c r="Q255" s="69"/>
      <c r="R255" s="69"/>
      <c r="S255" s="69"/>
      <c r="T255" s="69"/>
      <c r="U255" s="69"/>
      <c r="V255" s="69"/>
      <c r="W255" s="69"/>
    </row>
    <row r="256" spans="1:23" ht="15.75" customHeight="1" x14ac:dyDescent="0.25">
      <c r="A256" s="74"/>
      <c r="B256" s="74"/>
      <c r="C256" s="75"/>
      <c r="D256" s="285"/>
      <c r="E256" s="76"/>
      <c r="F256" s="76"/>
      <c r="G256" s="76"/>
      <c r="H256" s="76"/>
      <c r="I256" s="76"/>
      <c r="J256" s="76"/>
      <c r="K256" s="69"/>
      <c r="L256" s="69"/>
      <c r="M256" s="69"/>
      <c r="N256" s="69"/>
      <c r="O256" s="69"/>
      <c r="P256" s="69"/>
      <c r="Q256" s="69"/>
      <c r="R256" s="69"/>
      <c r="S256" s="69"/>
      <c r="T256" s="69"/>
      <c r="U256" s="69"/>
      <c r="V256" s="69"/>
      <c r="W256" s="69"/>
    </row>
    <row r="257" spans="1:23" ht="15.75" customHeight="1" x14ac:dyDescent="0.25">
      <c r="A257" s="74"/>
      <c r="B257" s="74"/>
      <c r="C257" s="75"/>
      <c r="D257" s="285"/>
      <c r="E257" s="76"/>
      <c r="F257" s="76"/>
      <c r="G257" s="76"/>
      <c r="H257" s="76"/>
      <c r="I257" s="76"/>
      <c r="J257" s="76"/>
      <c r="K257" s="69"/>
      <c r="L257" s="69"/>
      <c r="M257" s="69"/>
      <c r="N257" s="69"/>
      <c r="O257" s="69"/>
      <c r="P257" s="69"/>
      <c r="Q257" s="69"/>
      <c r="R257" s="69"/>
      <c r="S257" s="69"/>
      <c r="T257" s="69"/>
      <c r="U257" s="69"/>
      <c r="V257" s="69"/>
      <c r="W257" s="69"/>
    </row>
    <row r="258" spans="1:23" ht="15.75" customHeight="1" x14ac:dyDescent="0.25">
      <c r="A258" s="74"/>
      <c r="B258" s="74"/>
      <c r="C258" s="75"/>
      <c r="D258" s="285"/>
      <c r="E258" s="76"/>
      <c r="F258" s="76"/>
      <c r="G258" s="76"/>
      <c r="H258" s="76"/>
      <c r="I258" s="76"/>
      <c r="J258" s="76"/>
      <c r="K258" s="69"/>
      <c r="L258" s="69"/>
      <c r="M258" s="69"/>
      <c r="N258" s="69"/>
      <c r="O258" s="69"/>
      <c r="P258" s="69"/>
      <c r="Q258" s="69"/>
      <c r="R258" s="69"/>
      <c r="S258" s="69"/>
      <c r="T258" s="69"/>
      <c r="U258" s="69"/>
      <c r="V258" s="69"/>
      <c r="W258" s="69"/>
    </row>
    <row r="259" spans="1:23" ht="15.75" customHeight="1" x14ac:dyDescent="0.25">
      <c r="A259" s="74" t="s">
        <v>593</v>
      </c>
      <c r="B259" s="74"/>
      <c r="C259" s="76"/>
      <c r="D259" s="285"/>
      <c r="E259" s="76">
        <f>'5.Closing Stock &amp; W Capital'!F6</f>
        <v>188650</v>
      </c>
      <c r="F259" s="76">
        <f>'5.Closing Stock &amp; W Capital'!G6</f>
        <v>247603.125</v>
      </c>
      <c r="G259" s="76">
        <f>'5.Closing Stock &amp; W Capital'!H6</f>
        <v>311979.9375</v>
      </c>
      <c r="H259" s="76">
        <f>'5.Closing Stock &amp; W Capital'!I6</f>
        <v>382175.42343750008</v>
      </c>
      <c r="I259" s="76">
        <f>'5.Closing Stock &amp; W Capital'!J6</f>
        <v>458610.50812500011</v>
      </c>
      <c r="J259" s="76">
        <f>'5.Closing Stock &amp; W Capital'!K6</f>
        <v>541733.66272265639</v>
      </c>
      <c r="K259" s="69"/>
      <c r="L259" s="69"/>
      <c r="M259" s="69"/>
      <c r="N259" s="69"/>
      <c r="O259" s="69"/>
      <c r="P259" s="69"/>
      <c r="Q259" s="69"/>
      <c r="R259" s="69"/>
      <c r="S259" s="69"/>
      <c r="T259" s="69"/>
      <c r="U259" s="69"/>
      <c r="V259" s="69"/>
      <c r="W259" s="69"/>
    </row>
    <row r="260" spans="1:23" ht="15.75" customHeight="1" x14ac:dyDescent="0.25">
      <c r="A260" s="74" t="s">
        <v>594</v>
      </c>
      <c r="B260" s="74"/>
      <c r="C260" s="74"/>
      <c r="D260" s="285">
        <f>'5.Closing Stock &amp; W Capital'!E15</f>
        <v>188650</v>
      </c>
      <c r="E260" s="76">
        <f>'5.Closing Stock &amp; W Capital'!F15</f>
        <v>247603.125</v>
      </c>
      <c r="F260" s="76">
        <f>'5.Closing Stock &amp; W Capital'!G15</f>
        <v>311979.9375</v>
      </c>
      <c r="G260" s="76">
        <f>'5.Closing Stock &amp; W Capital'!H15</f>
        <v>382175.42343750008</v>
      </c>
      <c r="H260" s="76">
        <f>'5.Closing Stock &amp; W Capital'!I15</f>
        <v>458610.50812500011</v>
      </c>
      <c r="I260" s="76">
        <f>'5.Closing Stock &amp; W Capital'!J15</f>
        <v>541733.66272265639</v>
      </c>
      <c r="J260" s="76">
        <f>'5.Closing Stock &amp; W Capital'!K15</f>
        <v>632022.60650976596</v>
      </c>
      <c r="K260" s="69"/>
      <c r="L260" s="69"/>
      <c r="M260" s="69"/>
      <c r="N260" s="69"/>
      <c r="O260" s="69"/>
      <c r="P260" s="69"/>
      <c r="Q260" s="69"/>
      <c r="R260" s="69"/>
      <c r="S260" s="69"/>
      <c r="T260" s="69"/>
      <c r="U260" s="69"/>
      <c r="V260" s="69"/>
      <c r="W260" s="69"/>
    </row>
    <row r="261" spans="1:23" ht="15.75" customHeight="1" x14ac:dyDescent="0.25">
      <c r="A261" s="74"/>
      <c r="B261" s="74"/>
      <c r="C261" s="74"/>
      <c r="D261" s="69"/>
      <c r="E261" s="69"/>
      <c r="F261" s="69"/>
      <c r="G261" s="69"/>
      <c r="H261" s="69"/>
      <c r="I261" s="69"/>
      <c r="J261" s="69"/>
      <c r="K261" s="69"/>
      <c r="L261" s="69"/>
      <c r="M261" s="69"/>
      <c r="N261" s="69"/>
      <c r="O261" s="69"/>
      <c r="P261" s="69"/>
      <c r="Q261" s="69"/>
      <c r="R261" s="69"/>
      <c r="S261" s="69"/>
      <c r="T261" s="69"/>
      <c r="U261" s="69"/>
      <c r="V261" s="69"/>
      <c r="W261" s="69"/>
    </row>
    <row r="262" spans="1:23" ht="15.75" customHeight="1" x14ac:dyDescent="0.25">
      <c r="A262" s="77" t="s">
        <v>356</v>
      </c>
      <c r="B262" s="77"/>
      <c r="C262" s="78"/>
      <c r="D262" s="78">
        <f t="shared" ref="D262:J262" si="113">SUM(D197:D258)+D259-D260</f>
        <v>4013492</v>
      </c>
      <c r="E262" s="78">
        <f t="shared" si="113"/>
        <v>5456358.25</v>
      </c>
      <c r="F262" s="78">
        <f t="shared" si="113"/>
        <v>6884915.5199999996</v>
      </c>
      <c r="G262" s="78">
        <f t="shared" si="113"/>
        <v>8442687.6213750001</v>
      </c>
      <c r="H262" s="78">
        <f t="shared" si="113"/>
        <v>10139024.644087503</v>
      </c>
      <c r="I262" s="78">
        <f t="shared" si="113"/>
        <v>11983888.650017815</v>
      </c>
      <c r="J262" s="78">
        <f t="shared" si="113"/>
        <v>13987891.494930943</v>
      </c>
      <c r="K262" s="69"/>
      <c r="L262" s="69"/>
      <c r="M262" s="69"/>
      <c r="N262" s="69"/>
      <c r="O262" s="69"/>
      <c r="P262" s="69"/>
      <c r="Q262" s="69"/>
      <c r="R262" s="69"/>
      <c r="S262" s="69"/>
      <c r="T262" s="69"/>
      <c r="U262" s="69"/>
      <c r="V262" s="69"/>
      <c r="W262" s="69"/>
    </row>
    <row r="263" spans="1:23" ht="15.75" customHeight="1" x14ac:dyDescent="0.25">
      <c r="A263" s="74"/>
      <c r="B263" s="74"/>
      <c r="C263" s="76"/>
      <c r="D263" s="76"/>
      <c r="E263" s="76"/>
      <c r="F263" s="76"/>
      <c r="G263" s="76"/>
      <c r="H263" s="76"/>
      <c r="I263" s="76"/>
      <c r="J263" s="76"/>
      <c r="K263" s="69"/>
      <c r="L263" s="69"/>
      <c r="M263" s="69"/>
      <c r="N263" s="69"/>
      <c r="O263" s="69"/>
      <c r="P263" s="69"/>
      <c r="Q263" s="69"/>
      <c r="R263" s="69"/>
      <c r="S263" s="69"/>
      <c r="T263" s="69"/>
      <c r="U263" s="69"/>
      <c r="V263" s="69"/>
      <c r="W263" s="69"/>
    </row>
    <row r="264" spans="1:23" ht="15.75" customHeight="1" x14ac:dyDescent="0.25">
      <c r="A264" s="77" t="s">
        <v>357</v>
      </c>
      <c r="B264" s="77"/>
      <c r="C264" s="76"/>
      <c r="D264" s="76"/>
      <c r="E264" s="76"/>
      <c r="F264" s="76"/>
      <c r="G264" s="76"/>
      <c r="H264" s="76"/>
      <c r="I264" s="76"/>
      <c r="J264" s="76"/>
      <c r="K264" s="69"/>
      <c r="L264" s="69"/>
      <c r="M264" s="69"/>
      <c r="N264" s="69"/>
      <c r="O264" s="69"/>
      <c r="P264" s="69"/>
      <c r="Q264" s="69"/>
      <c r="R264" s="69"/>
      <c r="S264" s="69"/>
      <c r="T264" s="69"/>
      <c r="U264" s="69"/>
      <c r="V264" s="69"/>
      <c r="W264" s="69"/>
    </row>
    <row r="265" spans="1:23" ht="15.75" customHeight="1" x14ac:dyDescent="0.25">
      <c r="A265" s="74" t="s">
        <v>682</v>
      </c>
      <c r="B265" s="74">
        <v>12</v>
      </c>
      <c r="C265" s="75"/>
      <c r="D265" s="76">
        <f t="shared" ref="D265:J265" si="114">$B$265*$C$265*D124</f>
        <v>0</v>
      </c>
      <c r="E265" s="76">
        <f t="shared" si="114"/>
        <v>0</v>
      </c>
      <c r="F265" s="76">
        <f t="shared" si="114"/>
        <v>0</v>
      </c>
      <c r="G265" s="76">
        <f t="shared" si="114"/>
        <v>0</v>
      </c>
      <c r="H265" s="76">
        <f t="shared" si="114"/>
        <v>0</v>
      </c>
      <c r="I265" s="76">
        <f t="shared" si="114"/>
        <v>0</v>
      </c>
      <c r="J265" s="76">
        <f t="shared" si="114"/>
        <v>0</v>
      </c>
      <c r="K265" s="69"/>
      <c r="L265" s="69"/>
      <c r="M265" s="69"/>
      <c r="N265" s="69"/>
      <c r="O265" s="69"/>
      <c r="P265" s="69"/>
      <c r="Q265" s="69"/>
      <c r="R265" s="69"/>
      <c r="S265" s="69"/>
      <c r="T265" s="69"/>
      <c r="U265" s="69"/>
      <c r="V265" s="69"/>
      <c r="W265" s="69"/>
    </row>
    <row r="266" spans="1:23" ht="15.75" customHeight="1" x14ac:dyDescent="0.25">
      <c r="A266" s="74" t="s">
        <v>683</v>
      </c>
      <c r="B266" s="50">
        <v>1</v>
      </c>
      <c r="C266" s="75"/>
      <c r="D266" s="76">
        <f t="shared" ref="D266:J266" si="115">$B$266*$C$266*12*D124</f>
        <v>0</v>
      </c>
      <c r="E266" s="76">
        <f t="shared" si="115"/>
        <v>0</v>
      </c>
      <c r="F266" s="76">
        <f t="shared" si="115"/>
        <v>0</v>
      </c>
      <c r="G266" s="76">
        <f t="shared" si="115"/>
        <v>0</v>
      </c>
      <c r="H266" s="76">
        <f t="shared" si="115"/>
        <v>0</v>
      </c>
      <c r="I266" s="76">
        <f t="shared" si="115"/>
        <v>0</v>
      </c>
      <c r="J266" s="76">
        <f t="shared" si="115"/>
        <v>0</v>
      </c>
      <c r="K266" s="69"/>
      <c r="L266" s="69"/>
      <c r="M266" s="69"/>
      <c r="N266" s="69"/>
      <c r="O266" s="69"/>
      <c r="P266" s="69"/>
      <c r="Q266" s="69"/>
      <c r="R266" s="69"/>
      <c r="S266" s="69"/>
      <c r="T266" s="69"/>
      <c r="U266" s="69"/>
      <c r="V266" s="69"/>
      <c r="W266" s="69"/>
    </row>
    <row r="267" spans="1:23" ht="15.75" customHeight="1" x14ac:dyDescent="0.25">
      <c r="A267" s="74" t="s">
        <v>684</v>
      </c>
      <c r="B267" s="50">
        <v>1</v>
      </c>
      <c r="C267" s="75"/>
      <c r="D267" s="76">
        <f t="shared" ref="D267:J267" si="116">$B$267*$C$267*12*D124</f>
        <v>0</v>
      </c>
      <c r="E267" s="76">
        <f t="shared" si="116"/>
        <v>0</v>
      </c>
      <c r="F267" s="76">
        <f t="shared" si="116"/>
        <v>0</v>
      </c>
      <c r="G267" s="76">
        <f t="shared" si="116"/>
        <v>0</v>
      </c>
      <c r="H267" s="76">
        <f t="shared" si="116"/>
        <v>0</v>
      </c>
      <c r="I267" s="76">
        <f t="shared" si="116"/>
        <v>0</v>
      </c>
      <c r="J267" s="76">
        <f t="shared" si="116"/>
        <v>0</v>
      </c>
      <c r="K267" s="69"/>
      <c r="L267" s="69"/>
      <c r="M267" s="69"/>
      <c r="N267" s="69"/>
      <c r="O267" s="69"/>
      <c r="P267" s="69"/>
      <c r="Q267" s="69"/>
      <c r="R267" s="69"/>
      <c r="S267" s="69"/>
      <c r="T267" s="69"/>
      <c r="U267" s="69"/>
      <c r="V267" s="69"/>
      <c r="W267" s="69"/>
    </row>
    <row r="268" spans="1:23" ht="15.75" customHeight="1" x14ac:dyDescent="0.25">
      <c r="A268" s="74" t="s">
        <v>685</v>
      </c>
      <c r="B268" s="74">
        <v>12</v>
      </c>
      <c r="C268" s="75"/>
      <c r="D268" s="76">
        <f t="shared" ref="D268:J268" si="117">$B$268*$C$268*D124</f>
        <v>0</v>
      </c>
      <c r="E268" s="76">
        <f t="shared" si="117"/>
        <v>0</v>
      </c>
      <c r="F268" s="76">
        <f t="shared" si="117"/>
        <v>0</v>
      </c>
      <c r="G268" s="76">
        <f t="shared" si="117"/>
        <v>0</v>
      </c>
      <c r="H268" s="76">
        <f t="shared" si="117"/>
        <v>0</v>
      </c>
      <c r="I268" s="76">
        <f t="shared" si="117"/>
        <v>0</v>
      </c>
      <c r="J268" s="76">
        <f t="shared" si="117"/>
        <v>0</v>
      </c>
      <c r="K268" s="69"/>
      <c r="L268" s="69"/>
      <c r="M268" s="69"/>
      <c r="N268" s="69"/>
      <c r="O268" s="69"/>
      <c r="P268" s="69"/>
      <c r="Q268" s="69"/>
      <c r="R268" s="69"/>
      <c r="S268" s="69"/>
      <c r="T268" s="69"/>
      <c r="U268" s="69"/>
      <c r="V268" s="69"/>
      <c r="W268" s="69"/>
    </row>
    <row r="269" spans="1:23" ht="15.75" customHeight="1" x14ac:dyDescent="0.25">
      <c r="A269" s="74"/>
      <c r="B269" s="74"/>
      <c r="C269" s="75"/>
      <c r="D269" s="76"/>
      <c r="E269" s="76"/>
      <c r="F269" s="76"/>
      <c r="G269" s="76"/>
      <c r="H269" s="76"/>
      <c r="I269" s="76"/>
      <c r="J269" s="76"/>
      <c r="K269" s="69"/>
      <c r="L269" s="69"/>
      <c r="M269" s="69"/>
      <c r="N269" s="69"/>
      <c r="O269" s="69"/>
      <c r="P269" s="69"/>
      <c r="Q269" s="69"/>
      <c r="R269" s="69"/>
      <c r="S269" s="69"/>
      <c r="T269" s="69"/>
      <c r="U269" s="69"/>
      <c r="V269" s="69"/>
      <c r="W269" s="69"/>
    </row>
    <row r="270" spans="1:23" ht="15.75" customHeight="1" x14ac:dyDescent="0.25">
      <c r="A270" s="74"/>
      <c r="B270" s="74"/>
      <c r="C270" s="75"/>
      <c r="D270" s="76"/>
      <c r="E270" s="76"/>
      <c r="F270" s="76"/>
      <c r="G270" s="76"/>
      <c r="H270" s="76"/>
      <c r="I270" s="76"/>
      <c r="J270" s="76"/>
      <c r="K270" s="69"/>
      <c r="L270" s="69"/>
      <c r="M270" s="69"/>
      <c r="N270" s="69"/>
      <c r="O270" s="69"/>
      <c r="P270" s="69"/>
      <c r="Q270" s="69"/>
      <c r="R270" s="69"/>
      <c r="S270" s="69"/>
      <c r="T270" s="69"/>
      <c r="U270" s="69"/>
      <c r="V270" s="69"/>
      <c r="W270" s="69"/>
    </row>
    <row r="271" spans="1:23" ht="15.75" customHeight="1" x14ac:dyDescent="0.25">
      <c r="A271" s="74"/>
      <c r="B271" s="74"/>
      <c r="C271" s="75"/>
      <c r="D271" s="76"/>
      <c r="E271" s="76"/>
      <c r="F271" s="76"/>
      <c r="G271" s="76"/>
      <c r="H271" s="76"/>
      <c r="I271" s="76"/>
      <c r="J271" s="76"/>
      <c r="K271" s="69"/>
      <c r="L271" s="69"/>
      <c r="M271" s="69"/>
      <c r="N271" s="69"/>
      <c r="O271" s="69"/>
      <c r="P271" s="69"/>
      <c r="Q271" s="69"/>
      <c r="R271" s="69"/>
      <c r="S271" s="69"/>
      <c r="T271" s="69"/>
      <c r="U271" s="69"/>
      <c r="V271" s="69"/>
      <c r="W271" s="69"/>
    </row>
    <row r="272" spans="1:23" ht="15.75" customHeight="1" x14ac:dyDescent="0.25">
      <c r="A272" s="74"/>
      <c r="B272" s="74"/>
      <c r="C272" s="75"/>
      <c r="D272" s="76"/>
      <c r="E272" s="76"/>
      <c r="F272" s="76"/>
      <c r="G272" s="76"/>
      <c r="H272" s="76"/>
      <c r="I272" s="76"/>
      <c r="J272" s="76"/>
      <c r="K272" s="69"/>
      <c r="L272" s="69"/>
      <c r="M272" s="69"/>
      <c r="N272" s="69"/>
      <c r="O272" s="69"/>
      <c r="P272" s="69"/>
      <c r="Q272" s="69"/>
      <c r="R272" s="69"/>
      <c r="S272" s="69"/>
      <c r="T272" s="69"/>
      <c r="U272" s="69"/>
      <c r="V272" s="69"/>
      <c r="W272" s="69"/>
    </row>
    <row r="273" spans="1:23" ht="15.75" customHeight="1" x14ac:dyDescent="0.25">
      <c r="A273" s="77" t="s">
        <v>359</v>
      </c>
      <c r="B273" s="77"/>
      <c r="C273" s="78"/>
      <c r="D273" s="78">
        <f t="shared" ref="D273:J273" si="118">SUM(D265:D272)</f>
        <v>0</v>
      </c>
      <c r="E273" s="78">
        <f t="shared" si="118"/>
        <v>0</v>
      </c>
      <c r="F273" s="78">
        <f t="shared" si="118"/>
        <v>0</v>
      </c>
      <c r="G273" s="78">
        <f t="shared" si="118"/>
        <v>0</v>
      </c>
      <c r="H273" s="78">
        <f t="shared" si="118"/>
        <v>0</v>
      </c>
      <c r="I273" s="78">
        <f t="shared" si="118"/>
        <v>0</v>
      </c>
      <c r="J273" s="78">
        <f t="shared" si="118"/>
        <v>0</v>
      </c>
      <c r="K273" s="69"/>
      <c r="L273" s="69"/>
      <c r="M273" s="69"/>
      <c r="N273" s="69"/>
      <c r="O273" s="69"/>
      <c r="P273" s="69"/>
      <c r="Q273" s="69"/>
      <c r="R273" s="69"/>
      <c r="S273" s="69"/>
      <c r="T273" s="69"/>
      <c r="U273" s="69"/>
      <c r="V273" s="69"/>
      <c r="W273" s="69"/>
    </row>
    <row r="274" spans="1:23" ht="15.75" customHeight="1" x14ac:dyDescent="0.25">
      <c r="A274" s="187" t="s">
        <v>686</v>
      </c>
      <c r="B274" s="187"/>
      <c r="C274" s="190"/>
      <c r="D274" s="78">
        <f t="shared" ref="D274:J274" si="119">D262+D273</f>
        <v>4013492</v>
      </c>
      <c r="E274" s="78">
        <f t="shared" si="119"/>
        <v>5456358.25</v>
      </c>
      <c r="F274" s="78">
        <f t="shared" si="119"/>
        <v>6884915.5199999996</v>
      </c>
      <c r="G274" s="78">
        <f t="shared" si="119"/>
        <v>8442687.6213750001</v>
      </c>
      <c r="H274" s="78">
        <f t="shared" si="119"/>
        <v>10139024.644087503</v>
      </c>
      <c r="I274" s="78">
        <f t="shared" si="119"/>
        <v>11983888.650017815</v>
      </c>
      <c r="J274" s="78">
        <f t="shared" si="119"/>
        <v>13987891.494930943</v>
      </c>
      <c r="K274" s="69"/>
      <c r="L274" s="69"/>
      <c r="M274" s="69"/>
      <c r="N274" s="69"/>
      <c r="O274" s="69"/>
      <c r="P274" s="69"/>
      <c r="Q274" s="69"/>
      <c r="R274" s="69"/>
      <c r="S274" s="69"/>
      <c r="T274" s="69"/>
      <c r="U274" s="69"/>
      <c r="V274" s="69"/>
      <c r="W274" s="69"/>
    </row>
    <row r="275" spans="1:23" ht="15.75" customHeight="1" x14ac:dyDescent="0.25">
      <c r="A275" s="74"/>
      <c r="B275" s="74"/>
      <c r="C275" s="76"/>
      <c r="D275" s="76"/>
      <c r="E275" s="76"/>
      <c r="F275" s="76"/>
      <c r="G275" s="76"/>
      <c r="H275" s="76"/>
      <c r="I275" s="76"/>
      <c r="J275" s="76"/>
      <c r="K275" s="69"/>
      <c r="L275" s="69"/>
      <c r="M275" s="69"/>
      <c r="N275" s="69"/>
      <c r="O275" s="69"/>
      <c r="P275" s="69"/>
      <c r="Q275" s="69"/>
      <c r="R275" s="69"/>
      <c r="S275" s="69"/>
      <c r="T275" s="69"/>
      <c r="U275" s="69"/>
      <c r="V275" s="69"/>
      <c r="W275" s="69"/>
    </row>
    <row r="276" spans="1:23" ht="15.75" customHeight="1" x14ac:dyDescent="0.25">
      <c r="A276" s="187" t="s">
        <v>404</v>
      </c>
      <c r="B276" s="187"/>
      <c r="C276" s="190"/>
      <c r="D276" s="78">
        <f t="shared" ref="D276:J276" si="120">D191-D274</f>
        <v>176008</v>
      </c>
      <c r="E276" s="78">
        <f t="shared" si="120"/>
        <v>273885.5</v>
      </c>
      <c r="F276" s="78">
        <f t="shared" si="120"/>
        <v>347346.66750000045</v>
      </c>
      <c r="G276" s="78">
        <f t="shared" si="120"/>
        <v>427469.23800000176</v>
      </c>
      <c r="H276" s="78">
        <f t="shared" si="120"/>
        <v>514735.69888124987</v>
      </c>
      <c r="I276" s="78">
        <f t="shared" si="120"/>
        <v>609660.13275562599</v>
      </c>
      <c r="J276" s="78">
        <f t="shared" si="120"/>
        <v>712790.1707702335</v>
      </c>
      <c r="K276" s="69"/>
      <c r="L276" s="69"/>
      <c r="M276" s="69"/>
      <c r="N276" s="69"/>
      <c r="O276" s="69"/>
      <c r="P276" s="69"/>
      <c r="Q276" s="69"/>
      <c r="R276" s="69"/>
      <c r="S276" s="69"/>
      <c r="T276" s="69"/>
      <c r="U276" s="69"/>
      <c r="V276" s="69"/>
      <c r="W276" s="69"/>
    </row>
    <row r="277" spans="1:23" ht="15.75" customHeight="1" x14ac:dyDescent="0.25">
      <c r="A277" s="93"/>
      <c r="B277" s="93"/>
      <c r="C277" s="93"/>
      <c r="D277" s="69"/>
      <c r="E277" s="69"/>
      <c r="F277" s="69"/>
      <c r="G277" s="69"/>
      <c r="H277" s="69"/>
      <c r="I277" s="69"/>
      <c r="J277" s="69"/>
      <c r="K277" s="69"/>
      <c r="L277" s="69"/>
      <c r="M277" s="69"/>
      <c r="N277" s="69"/>
      <c r="O277" s="69"/>
      <c r="P277" s="69"/>
      <c r="Q277" s="69"/>
      <c r="R277" s="69"/>
      <c r="S277" s="69"/>
      <c r="T277" s="69"/>
      <c r="U277" s="69"/>
      <c r="V277" s="69"/>
      <c r="W277" s="69"/>
    </row>
    <row r="278" spans="1:23" ht="15.75" customHeight="1" x14ac:dyDescent="0.25">
      <c r="A278" s="69"/>
      <c r="B278" s="69"/>
      <c r="C278" s="69"/>
      <c r="D278" s="69"/>
      <c r="E278" s="69"/>
      <c r="F278" s="69"/>
      <c r="G278" s="69"/>
      <c r="H278" s="69"/>
      <c r="I278" s="69"/>
      <c r="J278" s="69"/>
      <c r="K278" s="69"/>
      <c r="L278" s="69"/>
      <c r="M278" s="69"/>
      <c r="N278" s="69"/>
      <c r="O278" s="69"/>
      <c r="P278" s="69"/>
      <c r="Q278" s="69"/>
      <c r="R278" s="69"/>
      <c r="S278" s="69"/>
      <c r="T278" s="69"/>
      <c r="U278" s="69"/>
      <c r="V278" s="69"/>
      <c r="W278" s="69"/>
    </row>
    <row r="279" spans="1:23" ht="15.75" customHeight="1" x14ac:dyDescent="0.25">
      <c r="A279" s="356" t="s">
        <v>687</v>
      </c>
      <c r="B279" s="338"/>
      <c r="C279" s="338"/>
      <c r="D279" s="338"/>
      <c r="E279" s="338"/>
      <c r="F279" s="338"/>
      <c r="G279" s="338"/>
      <c r="H279" s="338"/>
      <c r="I279" s="338"/>
      <c r="J279" s="338"/>
    </row>
    <row r="280" spans="1:23" ht="15.75" customHeight="1" x14ac:dyDescent="0.25"/>
    <row r="281" spans="1:23" ht="15.75" customHeight="1" x14ac:dyDescent="0.25">
      <c r="A281" t="s">
        <v>312</v>
      </c>
    </row>
    <row r="282" spans="1:23" ht="15.75" customHeight="1" x14ac:dyDescent="0.25">
      <c r="A282">
        <v>1</v>
      </c>
      <c r="B282" t="s">
        <v>600</v>
      </c>
    </row>
    <row r="283" spans="1:23" ht="15.75" customHeight="1" x14ac:dyDescent="0.25">
      <c r="A283">
        <v>2</v>
      </c>
      <c r="B283" t="s">
        <v>601</v>
      </c>
    </row>
    <row r="284" spans="1:23" ht="15.75" customHeight="1" x14ac:dyDescent="0.25">
      <c r="A284">
        <v>3</v>
      </c>
      <c r="B284" s="69" t="s">
        <v>602</v>
      </c>
    </row>
  </sheetData>
  <mergeCells count="3">
    <mergeCell ref="A122:J122"/>
    <mergeCell ref="A2:I2"/>
    <mergeCell ref="A279:J279"/>
  </mergeCells>
  <printOptions horizontalCentered="1"/>
  <pageMargins left="0.23622047244094499" right="0.23622047244094499" top="0.74803149606299202" bottom="0.74803149606299202" header="0.31496062992126" footer="0.31496062992126"/>
  <pageSetup paperSize="9" scale="70" fitToHeight="0" orientation="landscape" r:id="rId1"/>
  <rowBreaks count="7" manualBreakCount="7">
    <brk id="41" max="16383" man="1"/>
    <brk id="84" max="16383" man="1"/>
    <brk id="119" max="9" man="1"/>
    <brk id="162" max="16383" man="1"/>
    <brk id="192" max="16383" man="1"/>
    <brk id="232" max="9" man="1"/>
    <brk id="263" max="16383" man="1"/>
  </rowBreaks>
  <colBreaks count="1" manualBreakCount="1">
    <brk id="1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31" zoomScale="60" zoomScaleNormal="100" workbookViewId="0">
      <selection activeCell="G1" sqref="G1"/>
    </sheetView>
  </sheetViews>
  <sheetFormatPr defaultColWidth="14.42578125" defaultRowHeight="15" customHeight="1" x14ac:dyDescent="0.25"/>
  <cols>
    <col min="1" max="1" width="41.7109375" customWidth="1"/>
    <col min="2" max="2" width="11.5703125" customWidth="1"/>
    <col min="3" max="3" width="12.5703125" customWidth="1"/>
    <col min="4" max="4" width="15.140625" customWidth="1"/>
    <col min="5" max="8" width="17.28515625" customWidth="1"/>
    <col min="9" max="10" width="16.85546875" customWidth="1"/>
    <col min="11" max="11" width="8.7109375" customWidth="1"/>
  </cols>
  <sheetData>
    <row r="3" spans="1:8" ht="18.75" x14ac:dyDescent="0.3">
      <c r="A3" s="354" t="s">
        <v>688</v>
      </c>
      <c r="B3" s="338"/>
      <c r="C3" s="338"/>
      <c r="D3" s="338"/>
      <c r="E3" s="338"/>
      <c r="F3" s="338"/>
      <c r="G3" s="338"/>
      <c r="H3" s="338"/>
    </row>
    <row r="4" spans="1:8" ht="18.75" x14ac:dyDescent="0.3">
      <c r="A4" s="354" t="s">
        <v>689</v>
      </c>
      <c r="B4" s="338"/>
      <c r="C4" s="338"/>
      <c r="D4" s="338"/>
      <c r="E4" s="338"/>
      <c r="F4" s="338"/>
      <c r="G4" s="338"/>
      <c r="H4" s="338"/>
    </row>
    <row r="5" spans="1:8" x14ac:dyDescent="0.25">
      <c r="A5" s="69" t="s">
        <v>129</v>
      </c>
      <c r="B5" s="260">
        <v>50</v>
      </c>
      <c r="C5" s="69" t="s">
        <v>604</v>
      </c>
      <c r="D5" s="69"/>
      <c r="E5" s="69"/>
      <c r="F5" s="69"/>
      <c r="G5" s="69"/>
      <c r="H5" s="69"/>
    </row>
    <row r="6" spans="1:8" x14ac:dyDescent="0.25">
      <c r="A6" s="69" t="s">
        <v>573</v>
      </c>
      <c r="B6" s="117">
        <v>8</v>
      </c>
      <c r="C6" s="69"/>
      <c r="D6" s="69"/>
      <c r="E6" s="69"/>
      <c r="F6" s="69"/>
      <c r="G6" s="69"/>
      <c r="H6" s="69"/>
    </row>
    <row r="7" spans="1:8" x14ac:dyDescent="0.25">
      <c r="A7" s="69"/>
      <c r="B7" s="117"/>
      <c r="C7" s="69"/>
      <c r="D7" s="69"/>
      <c r="E7" s="69"/>
      <c r="F7" s="69"/>
      <c r="G7" s="69"/>
      <c r="H7" s="69"/>
    </row>
    <row r="8" spans="1:8" x14ac:dyDescent="0.25">
      <c r="A8" s="69"/>
      <c r="B8" s="117"/>
      <c r="C8" s="69"/>
      <c r="D8" s="69"/>
      <c r="E8" s="69"/>
      <c r="F8" s="69"/>
      <c r="G8" s="69"/>
      <c r="H8" s="69"/>
    </row>
    <row r="9" spans="1:8" x14ac:dyDescent="0.25">
      <c r="A9" s="69"/>
      <c r="B9" s="69"/>
      <c r="C9" s="69"/>
      <c r="D9" s="69"/>
      <c r="E9" s="69"/>
      <c r="F9" s="69"/>
      <c r="G9" s="69"/>
      <c r="H9" s="69"/>
    </row>
    <row r="10" spans="1:8" x14ac:dyDescent="0.25">
      <c r="A10" s="69"/>
      <c r="B10" s="69"/>
      <c r="C10" s="69"/>
      <c r="D10" s="69"/>
      <c r="E10" s="69"/>
      <c r="F10" s="69"/>
      <c r="G10" s="69"/>
      <c r="H10" s="69"/>
    </row>
    <row r="11" spans="1:8" x14ac:dyDescent="0.25">
      <c r="A11" s="124" t="s">
        <v>148</v>
      </c>
      <c r="B11" s="125" t="s">
        <v>151</v>
      </c>
      <c r="C11" s="125" t="s">
        <v>152</v>
      </c>
      <c r="D11" s="125" t="s">
        <v>153</v>
      </c>
      <c r="E11" s="125" t="s">
        <v>154</v>
      </c>
      <c r="F11" s="125" t="s">
        <v>155</v>
      </c>
      <c r="G11" s="125" t="s">
        <v>156</v>
      </c>
      <c r="H11" s="125" t="s">
        <v>157</v>
      </c>
    </row>
    <row r="12" spans="1:8" x14ac:dyDescent="0.25">
      <c r="A12" s="74" t="s">
        <v>605</v>
      </c>
      <c r="B12" s="272">
        <f t="shared" ref="B12:H12" si="0">B39/($B$5*$B$6)</f>
        <v>0</v>
      </c>
      <c r="C12" s="272">
        <f t="shared" si="0"/>
        <v>0</v>
      </c>
      <c r="D12" s="272">
        <f t="shared" si="0"/>
        <v>0</v>
      </c>
      <c r="E12" s="272">
        <f t="shared" si="0"/>
        <v>0</v>
      </c>
      <c r="F12" s="272">
        <f t="shared" si="0"/>
        <v>0</v>
      </c>
      <c r="G12" s="272">
        <f t="shared" si="0"/>
        <v>0</v>
      </c>
      <c r="H12" s="272">
        <f t="shared" si="0"/>
        <v>0</v>
      </c>
    </row>
    <row r="13" spans="1:8" x14ac:dyDescent="0.25">
      <c r="A13" s="74" t="str">
        <f>'11.F&amp;V Crop Production details'!A74</f>
        <v>Onion</v>
      </c>
      <c r="B13" s="74">
        <f>'11.F&amp;V Crop Production details'!B74</f>
        <v>0</v>
      </c>
      <c r="C13" s="74">
        <f>'11.F&amp;V Crop Production details'!C74</f>
        <v>0</v>
      </c>
      <c r="D13" s="74">
        <f>'11.F&amp;V Crop Production details'!D74</f>
        <v>0</v>
      </c>
      <c r="E13" s="74">
        <f>'11.F&amp;V Crop Production details'!E74</f>
        <v>0</v>
      </c>
      <c r="F13" s="74">
        <f>'11.F&amp;V Crop Production details'!F74</f>
        <v>0</v>
      </c>
      <c r="G13" s="74">
        <f>'11.F&amp;V Crop Production details'!G74</f>
        <v>0</v>
      </c>
      <c r="H13" s="74">
        <f>'11.F&amp;V Crop Production details'!H74</f>
        <v>0</v>
      </c>
    </row>
    <row r="14" spans="1:8" x14ac:dyDescent="0.25">
      <c r="A14" s="74" t="str">
        <f>'11.F&amp;V Crop Production details'!A75</f>
        <v>Tomato</v>
      </c>
      <c r="B14" s="74">
        <f>'11.F&amp;V Crop Production details'!B75</f>
        <v>0</v>
      </c>
      <c r="C14" s="74">
        <f>'11.F&amp;V Crop Production details'!C75</f>
        <v>0</v>
      </c>
      <c r="D14" s="74">
        <f>'11.F&amp;V Crop Production details'!D75</f>
        <v>0</v>
      </c>
      <c r="E14" s="74">
        <f>'11.F&amp;V Crop Production details'!E75</f>
        <v>0</v>
      </c>
      <c r="F14" s="74">
        <f>'11.F&amp;V Crop Production details'!F75</f>
        <v>0</v>
      </c>
      <c r="G14" s="74">
        <f>'11.F&amp;V Crop Production details'!G75</f>
        <v>0</v>
      </c>
      <c r="H14" s="74">
        <f>'11.F&amp;V Crop Production details'!H75</f>
        <v>0</v>
      </c>
    </row>
    <row r="15" spans="1:8" x14ac:dyDescent="0.25">
      <c r="A15" s="74" t="str">
        <f>'11.F&amp;V Crop Production details'!A76</f>
        <v>Okra</v>
      </c>
      <c r="B15" s="74">
        <f>'11.F&amp;V Crop Production details'!B76</f>
        <v>0</v>
      </c>
      <c r="C15" s="74">
        <f>'11.F&amp;V Crop Production details'!C76</f>
        <v>0</v>
      </c>
      <c r="D15" s="74">
        <f>'11.F&amp;V Crop Production details'!D76</f>
        <v>0</v>
      </c>
      <c r="E15" s="74">
        <f>'11.F&amp;V Crop Production details'!E76</f>
        <v>0</v>
      </c>
      <c r="F15" s="74">
        <f>'11.F&amp;V Crop Production details'!F76</f>
        <v>0</v>
      </c>
      <c r="G15" s="74">
        <f>'11.F&amp;V Crop Production details'!G76</f>
        <v>0</v>
      </c>
      <c r="H15" s="74">
        <f>'11.F&amp;V Crop Production details'!H76</f>
        <v>0</v>
      </c>
    </row>
    <row r="16" spans="1:8" x14ac:dyDescent="0.25">
      <c r="A16" s="74" t="str">
        <f>'11.F&amp;V Crop Production details'!A77</f>
        <v>Chilli</v>
      </c>
      <c r="B16" s="74">
        <f>'11.F&amp;V Crop Production details'!B77</f>
        <v>0</v>
      </c>
      <c r="C16" s="74">
        <f>'11.F&amp;V Crop Production details'!C77</f>
        <v>0</v>
      </c>
      <c r="D16" s="74">
        <f>'11.F&amp;V Crop Production details'!D77</f>
        <v>0</v>
      </c>
      <c r="E16" s="74">
        <f>'11.F&amp;V Crop Production details'!E77</f>
        <v>0</v>
      </c>
      <c r="F16" s="74">
        <f>'11.F&amp;V Crop Production details'!F77</f>
        <v>0</v>
      </c>
      <c r="G16" s="74">
        <f>'11.F&amp;V Crop Production details'!G77</f>
        <v>0</v>
      </c>
      <c r="H16" s="74">
        <f>'11.F&amp;V Crop Production details'!H77</f>
        <v>0</v>
      </c>
    </row>
    <row r="17" spans="1:8" x14ac:dyDescent="0.25">
      <c r="A17" s="74" t="str">
        <f>'11.F&amp;V Crop Production details'!A78</f>
        <v>Potato</v>
      </c>
      <c r="B17" s="74">
        <f>'11.F&amp;V Crop Production details'!B78</f>
        <v>0</v>
      </c>
      <c r="C17" s="74">
        <f>'11.F&amp;V Crop Production details'!C78</f>
        <v>0</v>
      </c>
      <c r="D17" s="74">
        <f>'11.F&amp;V Crop Production details'!D78</f>
        <v>0</v>
      </c>
      <c r="E17" s="74">
        <f>'11.F&amp;V Crop Production details'!E78</f>
        <v>0</v>
      </c>
      <c r="F17" s="74">
        <f>'11.F&amp;V Crop Production details'!F78</f>
        <v>0</v>
      </c>
      <c r="G17" s="74">
        <f>'11.F&amp;V Crop Production details'!G78</f>
        <v>0</v>
      </c>
      <c r="H17" s="74">
        <f>'11.F&amp;V Crop Production details'!H78</f>
        <v>0</v>
      </c>
    </row>
    <row r="18" spans="1:8" x14ac:dyDescent="0.25">
      <c r="A18" s="74">
        <f>'11.F&amp;V Crop Production details'!A79</f>
        <v>0</v>
      </c>
      <c r="B18" s="74">
        <f>'11.F&amp;V Crop Production details'!B79</f>
        <v>0</v>
      </c>
      <c r="C18" s="74">
        <f>'11.F&amp;V Crop Production details'!C79</f>
        <v>0</v>
      </c>
      <c r="D18" s="74">
        <f>'11.F&amp;V Crop Production details'!D79</f>
        <v>0</v>
      </c>
      <c r="E18" s="74">
        <f>'11.F&amp;V Crop Production details'!E79</f>
        <v>0</v>
      </c>
      <c r="F18" s="74">
        <f>'11.F&amp;V Crop Production details'!F79</f>
        <v>0</v>
      </c>
      <c r="G18" s="74">
        <f>'11.F&amp;V Crop Production details'!G79</f>
        <v>0</v>
      </c>
      <c r="H18" s="74">
        <f>'11.F&amp;V Crop Production details'!H79</f>
        <v>0</v>
      </c>
    </row>
    <row r="19" spans="1:8" x14ac:dyDescent="0.25">
      <c r="A19" s="74">
        <f>'11.F&amp;V Crop Production details'!A80</f>
        <v>0</v>
      </c>
      <c r="B19" s="74">
        <f>'11.F&amp;V Crop Production details'!B80</f>
        <v>0</v>
      </c>
      <c r="C19" s="74">
        <f>'11.F&amp;V Crop Production details'!C80</f>
        <v>0</v>
      </c>
      <c r="D19" s="74">
        <f>'11.F&amp;V Crop Production details'!D80</f>
        <v>0</v>
      </c>
      <c r="E19" s="74">
        <f>'11.F&amp;V Crop Production details'!E80</f>
        <v>0</v>
      </c>
      <c r="F19" s="74">
        <f>'11.F&amp;V Crop Production details'!F80</f>
        <v>0</v>
      </c>
      <c r="G19" s="74">
        <f>'11.F&amp;V Crop Production details'!G80</f>
        <v>0</v>
      </c>
      <c r="H19" s="74">
        <f>'11.F&amp;V Crop Production details'!H80</f>
        <v>0</v>
      </c>
    </row>
    <row r="20" spans="1:8" x14ac:dyDescent="0.25">
      <c r="A20" s="74">
        <f>'11.F&amp;V Crop Production details'!A81</f>
        <v>0</v>
      </c>
      <c r="B20" s="74">
        <f>'11.F&amp;V Crop Production details'!B81</f>
        <v>0</v>
      </c>
      <c r="C20" s="74">
        <f>'11.F&amp;V Crop Production details'!C81</f>
        <v>0</v>
      </c>
      <c r="D20" s="74">
        <f>'11.F&amp;V Crop Production details'!D81</f>
        <v>0</v>
      </c>
      <c r="E20" s="74">
        <f>'11.F&amp;V Crop Production details'!E81</f>
        <v>0</v>
      </c>
      <c r="F20" s="74">
        <f>'11.F&amp;V Crop Production details'!F81</f>
        <v>0</v>
      </c>
      <c r="G20" s="74">
        <f>'11.F&amp;V Crop Production details'!G81</f>
        <v>0</v>
      </c>
      <c r="H20" s="74">
        <f>'11.F&amp;V Crop Production details'!H81</f>
        <v>0</v>
      </c>
    </row>
    <row r="21" spans="1:8" ht="15.75" customHeight="1" x14ac:dyDescent="0.25">
      <c r="A21" s="74">
        <f>'11.F&amp;V Crop Production details'!A82</f>
        <v>0</v>
      </c>
      <c r="B21" s="74">
        <f>'11.F&amp;V Crop Production details'!B82</f>
        <v>0</v>
      </c>
      <c r="C21" s="74">
        <f>'11.F&amp;V Crop Production details'!C82</f>
        <v>0</v>
      </c>
      <c r="D21" s="74">
        <f>'11.F&amp;V Crop Production details'!D82</f>
        <v>0</v>
      </c>
      <c r="E21" s="74">
        <f>'11.F&amp;V Crop Production details'!E82</f>
        <v>0</v>
      </c>
      <c r="F21" s="74">
        <f>'11.F&amp;V Crop Production details'!F82</f>
        <v>0</v>
      </c>
      <c r="G21" s="74">
        <f>'11.F&amp;V Crop Production details'!G82</f>
        <v>0</v>
      </c>
      <c r="H21" s="74">
        <f>'11.F&amp;V Crop Production details'!H82</f>
        <v>0</v>
      </c>
    </row>
    <row r="22" spans="1:8" ht="15.75" customHeight="1" x14ac:dyDescent="0.25">
      <c r="A22" s="74" t="str">
        <f>'11.F&amp;V Crop Production details'!A83</f>
        <v>Onion</v>
      </c>
      <c r="B22" s="74">
        <f>'11.F&amp;V Crop Production details'!B83</f>
        <v>0</v>
      </c>
      <c r="C22" s="74">
        <f>'11.F&amp;V Crop Production details'!C83</f>
        <v>0</v>
      </c>
      <c r="D22" s="74">
        <f>'11.F&amp;V Crop Production details'!D83</f>
        <v>0</v>
      </c>
      <c r="E22" s="74">
        <f>'11.F&amp;V Crop Production details'!E83</f>
        <v>0</v>
      </c>
      <c r="F22" s="74">
        <f>'11.F&amp;V Crop Production details'!F83</f>
        <v>0</v>
      </c>
      <c r="G22" s="74">
        <f>'11.F&amp;V Crop Production details'!G83</f>
        <v>0</v>
      </c>
      <c r="H22" s="74">
        <f>'11.F&amp;V Crop Production details'!H83</f>
        <v>0</v>
      </c>
    </row>
    <row r="23" spans="1:8" ht="15.75" customHeight="1" x14ac:dyDescent="0.25">
      <c r="A23" s="74" t="str">
        <f>'11.F&amp;V Crop Production details'!A84</f>
        <v>Tomato</v>
      </c>
      <c r="B23" s="74">
        <f>'11.F&amp;V Crop Production details'!B84</f>
        <v>0</v>
      </c>
      <c r="C23" s="74">
        <f>'11.F&amp;V Crop Production details'!C84</f>
        <v>0</v>
      </c>
      <c r="D23" s="74">
        <f>'11.F&amp;V Crop Production details'!D84</f>
        <v>0</v>
      </c>
      <c r="E23" s="74">
        <f>'11.F&amp;V Crop Production details'!E84</f>
        <v>0</v>
      </c>
      <c r="F23" s="74">
        <f>'11.F&amp;V Crop Production details'!F84</f>
        <v>0</v>
      </c>
      <c r="G23" s="74">
        <f>'11.F&amp;V Crop Production details'!G84</f>
        <v>0</v>
      </c>
      <c r="H23" s="74">
        <f>'11.F&amp;V Crop Production details'!H84</f>
        <v>0</v>
      </c>
    </row>
    <row r="24" spans="1:8" ht="15.75" customHeight="1" x14ac:dyDescent="0.25">
      <c r="A24" s="74" t="str">
        <f>'11.F&amp;V Crop Production details'!A85</f>
        <v>Okra</v>
      </c>
      <c r="B24" s="74">
        <f>'11.F&amp;V Crop Production details'!B85</f>
        <v>0</v>
      </c>
      <c r="C24" s="74">
        <f>'11.F&amp;V Crop Production details'!C85</f>
        <v>0</v>
      </c>
      <c r="D24" s="74">
        <f>'11.F&amp;V Crop Production details'!D85</f>
        <v>0</v>
      </c>
      <c r="E24" s="74">
        <f>'11.F&amp;V Crop Production details'!E85</f>
        <v>0</v>
      </c>
      <c r="F24" s="74">
        <f>'11.F&amp;V Crop Production details'!F85</f>
        <v>0</v>
      </c>
      <c r="G24" s="74">
        <f>'11.F&amp;V Crop Production details'!G85</f>
        <v>0</v>
      </c>
      <c r="H24" s="74">
        <f>'11.F&amp;V Crop Production details'!H85</f>
        <v>0</v>
      </c>
    </row>
    <row r="25" spans="1:8" ht="15.75" customHeight="1" x14ac:dyDescent="0.25">
      <c r="A25" s="74" t="str">
        <f>'11.F&amp;V Crop Production details'!A86</f>
        <v>Chilli</v>
      </c>
      <c r="B25" s="74">
        <f>'11.F&amp;V Crop Production details'!B86</f>
        <v>0</v>
      </c>
      <c r="C25" s="74">
        <f>'11.F&amp;V Crop Production details'!C86</f>
        <v>0</v>
      </c>
      <c r="D25" s="74">
        <f>'11.F&amp;V Crop Production details'!D86</f>
        <v>0</v>
      </c>
      <c r="E25" s="74">
        <f>'11.F&amp;V Crop Production details'!E86</f>
        <v>0</v>
      </c>
      <c r="F25" s="74">
        <f>'11.F&amp;V Crop Production details'!F86</f>
        <v>0</v>
      </c>
      <c r="G25" s="74">
        <f>'11.F&amp;V Crop Production details'!G86</f>
        <v>0</v>
      </c>
      <c r="H25" s="74">
        <f>'11.F&amp;V Crop Production details'!H86</f>
        <v>0</v>
      </c>
    </row>
    <row r="26" spans="1:8" ht="15.75" customHeight="1" x14ac:dyDescent="0.25">
      <c r="A26" s="74" t="str">
        <f>'11.F&amp;V Crop Production details'!A87</f>
        <v>Brinjal</v>
      </c>
      <c r="B26" s="74">
        <f>'11.F&amp;V Crop Production details'!B87</f>
        <v>0</v>
      </c>
      <c r="C26" s="74">
        <f>'11.F&amp;V Crop Production details'!C87</f>
        <v>0</v>
      </c>
      <c r="D26" s="74">
        <f>'11.F&amp;V Crop Production details'!D87</f>
        <v>0</v>
      </c>
      <c r="E26" s="74">
        <f>'11.F&amp;V Crop Production details'!E87</f>
        <v>0</v>
      </c>
      <c r="F26" s="74">
        <f>'11.F&amp;V Crop Production details'!F87</f>
        <v>0</v>
      </c>
      <c r="G26" s="74">
        <f>'11.F&amp;V Crop Production details'!G87</f>
        <v>0</v>
      </c>
      <c r="H26" s="74">
        <f>'11.F&amp;V Crop Production details'!H87</f>
        <v>0</v>
      </c>
    </row>
    <row r="27" spans="1:8" ht="15.75" customHeight="1" x14ac:dyDescent="0.25">
      <c r="A27" s="74">
        <f>'11.F&amp;V Crop Production details'!A88</f>
        <v>0</v>
      </c>
      <c r="B27" s="74">
        <f>'11.F&amp;V Crop Production details'!B88</f>
        <v>0</v>
      </c>
      <c r="C27" s="74">
        <f>'11.F&amp;V Crop Production details'!C88</f>
        <v>0</v>
      </c>
      <c r="D27" s="74">
        <f>'11.F&amp;V Crop Production details'!D88</f>
        <v>0</v>
      </c>
      <c r="E27" s="74">
        <f>'11.F&amp;V Crop Production details'!E88</f>
        <v>0</v>
      </c>
      <c r="F27" s="74">
        <f>'11.F&amp;V Crop Production details'!F88</f>
        <v>0</v>
      </c>
      <c r="G27" s="74">
        <f>'11.F&amp;V Crop Production details'!G88</f>
        <v>0</v>
      </c>
      <c r="H27" s="74">
        <f>'11.F&amp;V Crop Production details'!H88</f>
        <v>0</v>
      </c>
    </row>
    <row r="28" spans="1:8" ht="15.75" customHeight="1" x14ac:dyDescent="0.25">
      <c r="A28" s="74">
        <f>'11.F&amp;V Crop Production details'!A89</f>
        <v>0</v>
      </c>
      <c r="B28" s="74">
        <f>'11.F&amp;V Crop Production details'!B89</f>
        <v>0</v>
      </c>
      <c r="C28" s="74">
        <f>'11.F&amp;V Crop Production details'!C89</f>
        <v>0</v>
      </c>
      <c r="D28" s="74">
        <f>'11.F&amp;V Crop Production details'!D89</f>
        <v>0</v>
      </c>
      <c r="E28" s="74">
        <f>'11.F&amp;V Crop Production details'!E89</f>
        <v>0</v>
      </c>
      <c r="F28" s="74">
        <f>'11.F&amp;V Crop Production details'!F89</f>
        <v>0</v>
      </c>
      <c r="G28" s="74">
        <f>'11.F&amp;V Crop Production details'!G89</f>
        <v>0</v>
      </c>
      <c r="H28" s="74">
        <f>'11.F&amp;V Crop Production details'!H89</f>
        <v>0</v>
      </c>
    </row>
    <row r="29" spans="1:8" ht="15.75" customHeight="1" x14ac:dyDescent="0.25">
      <c r="A29" s="74">
        <f>'11.F&amp;V Crop Production details'!A90</f>
        <v>0</v>
      </c>
      <c r="B29" s="74">
        <f>'11.F&amp;V Crop Production details'!B90</f>
        <v>0</v>
      </c>
      <c r="C29" s="74">
        <f>'11.F&amp;V Crop Production details'!C90</f>
        <v>0</v>
      </c>
      <c r="D29" s="74">
        <f>'11.F&amp;V Crop Production details'!D90</f>
        <v>0</v>
      </c>
      <c r="E29" s="74">
        <f>'11.F&amp;V Crop Production details'!E90</f>
        <v>0</v>
      </c>
      <c r="F29" s="74">
        <f>'11.F&amp;V Crop Production details'!F90</f>
        <v>0</v>
      </c>
      <c r="G29" s="74">
        <f>'11.F&amp;V Crop Production details'!G90</f>
        <v>0</v>
      </c>
      <c r="H29" s="74">
        <f>'11.F&amp;V Crop Production details'!H90</f>
        <v>0</v>
      </c>
    </row>
    <row r="30" spans="1:8" ht="15.75" customHeight="1" x14ac:dyDescent="0.25">
      <c r="A30" s="74">
        <f>'11.F&amp;V Crop Production details'!A91</f>
        <v>0</v>
      </c>
      <c r="B30" s="74">
        <f>'11.F&amp;V Crop Production details'!B91</f>
        <v>0</v>
      </c>
      <c r="C30" s="74">
        <f>'11.F&amp;V Crop Production details'!C91</f>
        <v>0</v>
      </c>
      <c r="D30" s="74">
        <f>'11.F&amp;V Crop Production details'!D91</f>
        <v>0</v>
      </c>
      <c r="E30" s="74">
        <f>'11.F&amp;V Crop Production details'!E91</f>
        <v>0</v>
      </c>
      <c r="F30" s="74">
        <f>'11.F&amp;V Crop Production details'!F91</f>
        <v>0</v>
      </c>
      <c r="G30" s="74">
        <f>'11.F&amp;V Crop Production details'!G91</f>
        <v>0</v>
      </c>
      <c r="H30" s="74">
        <f>'11.F&amp;V Crop Production details'!H91</f>
        <v>0</v>
      </c>
    </row>
    <row r="31" spans="1:8" ht="15.75" customHeight="1" x14ac:dyDescent="0.25">
      <c r="A31" s="74">
        <f>'11.F&amp;V Crop Production details'!A92</f>
        <v>0</v>
      </c>
      <c r="B31" s="74">
        <f>'11.F&amp;V Crop Production details'!B92</f>
        <v>0</v>
      </c>
      <c r="C31" s="74">
        <f>'11.F&amp;V Crop Production details'!C92</f>
        <v>0</v>
      </c>
      <c r="D31" s="74">
        <f>'11.F&amp;V Crop Production details'!D92</f>
        <v>0</v>
      </c>
      <c r="E31" s="74">
        <f>'11.F&amp;V Crop Production details'!E92</f>
        <v>0</v>
      </c>
      <c r="F31" s="74">
        <f>'11.F&amp;V Crop Production details'!F92</f>
        <v>0</v>
      </c>
      <c r="G31" s="74">
        <f>'11.F&amp;V Crop Production details'!G92</f>
        <v>0</v>
      </c>
      <c r="H31" s="74">
        <f>'11.F&amp;V Crop Production details'!H92</f>
        <v>0</v>
      </c>
    </row>
    <row r="32" spans="1:8" ht="15.75" customHeight="1" x14ac:dyDescent="0.25">
      <c r="A32" s="74">
        <f>'11.F&amp;V Crop Production details'!A93</f>
        <v>0</v>
      </c>
      <c r="B32" s="74">
        <f>'11.F&amp;V Crop Production details'!B93</f>
        <v>0</v>
      </c>
      <c r="C32" s="74">
        <f>'11.F&amp;V Crop Production details'!C93</f>
        <v>0</v>
      </c>
      <c r="D32" s="74">
        <f>'11.F&amp;V Crop Production details'!D93</f>
        <v>0</v>
      </c>
      <c r="E32" s="74">
        <f>'11.F&amp;V Crop Production details'!E93</f>
        <v>0</v>
      </c>
      <c r="F32" s="74">
        <f>'11.F&amp;V Crop Production details'!F93</f>
        <v>0</v>
      </c>
      <c r="G32" s="74">
        <f>'11.F&amp;V Crop Production details'!G93</f>
        <v>0</v>
      </c>
      <c r="H32" s="74">
        <f>'11.F&amp;V Crop Production details'!H93</f>
        <v>0</v>
      </c>
    </row>
    <row r="33" spans="1:8" ht="15.75" customHeight="1" x14ac:dyDescent="0.25">
      <c r="A33" s="74">
        <f>'11.F&amp;V Crop Production details'!A94</f>
        <v>0</v>
      </c>
      <c r="B33" s="74">
        <f>'11.F&amp;V Crop Production details'!B94</f>
        <v>0</v>
      </c>
      <c r="C33" s="74">
        <f>'11.F&amp;V Crop Production details'!C94</f>
        <v>0</v>
      </c>
      <c r="D33" s="74">
        <f>'11.F&amp;V Crop Production details'!D94</f>
        <v>0</v>
      </c>
      <c r="E33" s="74">
        <f>'11.F&amp;V Crop Production details'!E94</f>
        <v>0</v>
      </c>
      <c r="F33" s="74">
        <f>'11.F&amp;V Crop Production details'!F94</f>
        <v>0</v>
      </c>
      <c r="G33" s="74">
        <f>'11.F&amp;V Crop Production details'!G94</f>
        <v>0</v>
      </c>
      <c r="H33" s="74">
        <f>'11.F&amp;V Crop Production details'!H94</f>
        <v>0</v>
      </c>
    </row>
    <row r="34" spans="1:8" ht="15.75" customHeight="1" x14ac:dyDescent="0.25">
      <c r="A34" s="74" t="str">
        <f>'11.F&amp;V Crop Production details'!A95</f>
        <v>Pomegranate</v>
      </c>
      <c r="B34" s="74">
        <f>'11.F&amp;V Crop Production details'!B95</f>
        <v>0</v>
      </c>
      <c r="C34" s="74">
        <f>'11.F&amp;V Crop Production details'!C95</f>
        <v>0</v>
      </c>
      <c r="D34" s="74">
        <f>'11.F&amp;V Crop Production details'!D95</f>
        <v>0</v>
      </c>
      <c r="E34" s="74">
        <f>'11.F&amp;V Crop Production details'!E95</f>
        <v>0</v>
      </c>
      <c r="F34" s="74">
        <f>'11.F&amp;V Crop Production details'!F95</f>
        <v>0</v>
      </c>
      <c r="G34" s="74">
        <f>'11.F&amp;V Crop Production details'!G95</f>
        <v>0</v>
      </c>
      <c r="H34" s="74">
        <f>'11.F&amp;V Crop Production details'!H95</f>
        <v>0</v>
      </c>
    </row>
    <row r="35" spans="1:8" ht="15.75" customHeight="1" x14ac:dyDescent="0.25">
      <c r="A35" s="74" t="str">
        <f>'11.F&amp;V Crop Production details'!A96</f>
        <v>Custard Apple</v>
      </c>
      <c r="B35" s="74">
        <f>'11.F&amp;V Crop Production details'!B96</f>
        <v>0</v>
      </c>
      <c r="C35" s="74">
        <f>'11.F&amp;V Crop Production details'!C96</f>
        <v>0</v>
      </c>
      <c r="D35" s="74">
        <f>'11.F&amp;V Crop Production details'!D96</f>
        <v>0</v>
      </c>
      <c r="E35" s="74">
        <f>'11.F&amp;V Crop Production details'!E96</f>
        <v>0</v>
      </c>
      <c r="F35" s="74">
        <f>'11.F&amp;V Crop Production details'!F96</f>
        <v>0</v>
      </c>
      <c r="G35" s="74">
        <f>'11.F&amp;V Crop Production details'!G96</f>
        <v>0</v>
      </c>
      <c r="H35" s="74">
        <f>'11.F&amp;V Crop Production details'!H96</f>
        <v>0</v>
      </c>
    </row>
    <row r="36" spans="1:8" ht="15.75" customHeight="1" x14ac:dyDescent="0.25">
      <c r="A36" s="74" t="str">
        <f>'11.F&amp;V Crop Production details'!A97</f>
        <v>Guava</v>
      </c>
      <c r="B36" s="74">
        <f>'11.F&amp;V Crop Production details'!B97</f>
        <v>0</v>
      </c>
      <c r="C36" s="74">
        <f>'11.F&amp;V Crop Production details'!C97</f>
        <v>0</v>
      </c>
      <c r="D36" s="74">
        <f>'11.F&amp;V Crop Production details'!D97</f>
        <v>0</v>
      </c>
      <c r="E36" s="74">
        <f>'11.F&amp;V Crop Production details'!E97</f>
        <v>0</v>
      </c>
      <c r="F36" s="74">
        <f>'11.F&amp;V Crop Production details'!F97</f>
        <v>0</v>
      </c>
      <c r="G36" s="74">
        <f>'11.F&amp;V Crop Production details'!G97</f>
        <v>0</v>
      </c>
      <c r="H36" s="74">
        <f>'11.F&amp;V Crop Production details'!H97</f>
        <v>0</v>
      </c>
    </row>
    <row r="37" spans="1:8" ht="15.75" customHeight="1" x14ac:dyDescent="0.25">
      <c r="A37" s="74" t="str">
        <f>'11.F&amp;V Crop Production details'!A98</f>
        <v>Citrus</v>
      </c>
      <c r="B37" s="74">
        <f>'11.F&amp;V Crop Production details'!B98</f>
        <v>0</v>
      </c>
      <c r="C37" s="74">
        <f>'11.F&amp;V Crop Production details'!C98</f>
        <v>0</v>
      </c>
      <c r="D37" s="74">
        <f>'11.F&amp;V Crop Production details'!D98</f>
        <v>0</v>
      </c>
      <c r="E37" s="74">
        <f>'11.F&amp;V Crop Production details'!E98</f>
        <v>0</v>
      </c>
      <c r="F37" s="74">
        <f>'11.F&amp;V Crop Production details'!F98</f>
        <v>0</v>
      </c>
      <c r="G37" s="74">
        <f>'11.F&amp;V Crop Production details'!G98</f>
        <v>0</v>
      </c>
      <c r="H37" s="74">
        <f>'11.F&amp;V Crop Production details'!H98</f>
        <v>0</v>
      </c>
    </row>
    <row r="38" spans="1:8" ht="15.75" customHeight="1" x14ac:dyDescent="0.25">
      <c r="A38" s="74"/>
      <c r="B38" s="74"/>
      <c r="C38" s="74"/>
      <c r="D38" s="74"/>
      <c r="E38" s="74"/>
      <c r="F38" s="74"/>
      <c r="G38" s="74"/>
      <c r="H38" s="74"/>
    </row>
    <row r="39" spans="1:8" ht="15.75" customHeight="1" x14ac:dyDescent="0.25">
      <c r="A39" s="74" t="s">
        <v>606</v>
      </c>
      <c r="B39" s="74">
        <f t="shared" ref="B39:H39" si="1">SUM(B13:B37)</f>
        <v>0</v>
      </c>
      <c r="C39" s="74">
        <f t="shared" si="1"/>
        <v>0</v>
      </c>
      <c r="D39" s="74">
        <f t="shared" si="1"/>
        <v>0</v>
      </c>
      <c r="E39" s="74">
        <f t="shared" si="1"/>
        <v>0</v>
      </c>
      <c r="F39" s="74">
        <f t="shared" si="1"/>
        <v>0</v>
      </c>
      <c r="G39" s="74">
        <f t="shared" si="1"/>
        <v>0</v>
      </c>
      <c r="H39" s="74">
        <f t="shared" si="1"/>
        <v>0</v>
      </c>
    </row>
    <row r="40" spans="1:8" ht="15.75" customHeight="1" x14ac:dyDescent="0.25">
      <c r="A40" s="273" t="s">
        <v>582</v>
      </c>
      <c r="B40" s="135">
        <v>0</v>
      </c>
      <c r="C40" s="135">
        <f t="shared" ref="C40:H40" si="2">B40</f>
        <v>0</v>
      </c>
      <c r="D40" s="135">
        <f t="shared" si="2"/>
        <v>0</v>
      </c>
      <c r="E40" s="135">
        <f t="shared" si="2"/>
        <v>0</v>
      </c>
      <c r="F40" s="135">
        <f t="shared" si="2"/>
        <v>0</v>
      </c>
      <c r="G40" s="135">
        <f t="shared" si="2"/>
        <v>0</v>
      </c>
      <c r="H40" s="135">
        <f t="shared" si="2"/>
        <v>0</v>
      </c>
    </row>
    <row r="41" spans="1:8" ht="15.75" customHeight="1" x14ac:dyDescent="0.25">
      <c r="A41" s="74" t="s">
        <v>607</v>
      </c>
      <c r="B41" s="127">
        <f t="shared" ref="B41:H41" si="3">1-B40</f>
        <v>1</v>
      </c>
      <c r="C41" s="127">
        <f t="shared" si="3"/>
        <v>1</v>
      </c>
      <c r="D41" s="127">
        <f t="shared" si="3"/>
        <v>1</v>
      </c>
      <c r="E41" s="127">
        <f t="shared" si="3"/>
        <v>1</v>
      </c>
      <c r="F41" s="127">
        <f t="shared" si="3"/>
        <v>1</v>
      </c>
      <c r="G41" s="127">
        <f t="shared" si="3"/>
        <v>1</v>
      </c>
      <c r="H41" s="127">
        <f t="shared" si="3"/>
        <v>1</v>
      </c>
    </row>
    <row r="42" spans="1:8" ht="15.75" customHeight="1" x14ac:dyDescent="0.25">
      <c r="A42" s="77" t="s">
        <v>582</v>
      </c>
      <c r="B42" s="269">
        <f t="shared" ref="B42:H42" si="4">B39*B40</f>
        <v>0</v>
      </c>
      <c r="C42" s="269">
        <f t="shared" si="4"/>
        <v>0</v>
      </c>
      <c r="D42" s="269">
        <f t="shared" si="4"/>
        <v>0</v>
      </c>
      <c r="E42" s="269">
        <f t="shared" si="4"/>
        <v>0</v>
      </c>
      <c r="F42" s="269">
        <f t="shared" si="4"/>
        <v>0</v>
      </c>
      <c r="G42" s="269">
        <f t="shared" si="4"/>
        <v>0</v>
      </c>
      <c r="H42" s="269">
        <f t="shared" si="4"/>
        <v>0</v>
      </c>
    </row>
    <row r="43" spans="1:8" ht="15.75" customHeight="1" x14ac:dyDescent="0.25">
      <c r="A43" s="77" t="s">
        <v>583</v>
      </c>
      <c r="B43" s="78"/>
      <c r="C43" s="78"/>
      <c r="D43" s="78"/>
      <c r="E43" s="78"/>
      <c r="F43" s="78"/>
      <c r="G43" s="78"/>
      <c r="H43" s="78"/>
    </row>
    <row r="44" spans="1:8" ht="15.75" customHeight="1" x14ac:dyDescent="0.25">
      <c r="A44" s="74" t="str">
        <f t="shared" ref="A44:A61" si="5">A13</f>
        <v>Onion</v>
      </c>
      <c r="B44" s="76">
        <f t="shared" ref="B44:B61" si="6">B13*$B$41</f>
        <v>0</v>
      </c>
      <c r="C44" s="76">
        <f t="shared" ref="C44:C61" si="7">C13*$C$41</f>
        <v>0</v>
      </c>
      <c r="D44" s="76">
        <f t="shared" ref="D44:D61" si="8">D13*$D$41</f>
        <v>0</v>
      </c>
      <c r="E44" s="76">
        <f t="shared" ref="E44:E61" si="9">E13*$E$41</f>
        <v>0</v>
      </c>
      <c r="F44" s="76">
        <f t="shared" ref="F44:F61" si="10">F13*$F$41</f>
        <v>0</v>
      </c>
      <c r="G44" s="76">
        <f t="shared" ref="G44:G61" si="11">G13*$G$41</f>
        <v>0</v>
      </c>
      <c r="H44" s="76">
        <f t="shared" ref="H44:H61" si="12">H13*$H$41</f>
        <v>0</v>
      </c>
    </row>
    <row r="45" spans="1:8" ht="15.75" customHeight="1" x14ac:dyDescent="0.25">
      <c r="A45" s="74" t="str">
        <f t="shared" si="5"/>
        <v>Tomato</v>
      </c>
      <c r="B45" s="76">
        <f t="shared" si="6"/>
        <v>0</v>
      </c>
      <c r="C45" s="76">
        <f t="shared" si="7"/>
        <v>0</v>
      </c>
      <c r="D45" s="76">
        <f t="shared" si="8"/>
        <v>0</v>
      </c>
      <c r="E45" s="76">
        <f t="shared" si="9"/>
        <v>0</v>
      </c>
      <c r="F45" s="76">
        <f t="shared" si="10"/>
        <v>0</v>
      </c>
      <c r="G45" s="76">
        <f t="shared" si="11"/>
        <v>0</v>
      </c>
      <c r="H45" s="76">
        <f t="shared" si="12"/>
        <v>0</v>
      </c>
    </row>
    <row r="46" spans="1:8" ht="15.75" customHeight="1" x14ac:dyDescent="0.25">
      <c r="A46" s="74" t="str">
        <f t="shared" si="5"/>
        <v>Okra</v>
      </c>
      <c r="B46" s="76">
        <f t="shared" si="6"/>
        <v>0</v>
      </c>
      <c r="C46" s="76">
        <f t="shared" si="7"/>
        <v>0</v>
      </c>
      <c r="D46" s="76">
        <f t="shared" si="8"/>
        <v>0</v>
      </c>
      <c r="E46" s="76">
        <f t="shared" si="9"/>
        <v>0</v>
      </c>
      <c r="F46" s="76">
        <f t="shared" si="10"/>
        <v>0</v>
      </c>
      <c r="G46" s="76">
        <f t="shared" si="11"/>
        <v>0</v>
      </c>
      <c r="H46" s="76">
        <f t="shared" si="12"/>
        <v>0</v>
      </c>
    </row>
    <row r="47" spans="1:8" ht="15.75" customHeight="1" x14ac:dyDescent="0.25">
      <c r="A47" s="74" t="str">
        <f t="shared" si="5"/>
        <v>Chilli</v>
      </c>
      <c r="B47" s="76">
        <f t="shared" si="6"/>
        <v>0</v>
      </c>
      <c r="C47" s="76">
        <f t="shared" si="7"/>
        <v>0</v>
      </c>
      <c r="D47" s="76">
        <f t="shared" si="8"/>
        <v>0</v>
      </c>
      <c r="E47" s="76">
        <f t="shared" si="9"/>
        <v>0</v>
      </c>
      <c r="F47" s="76">
        <f t="shared" si="10"/>
        <v>0</v>
      </c>
      <c r="G47" s="76">
        <f t="shared" si="11"/>
        <v>0</v>
      </c>
      <c r="H47" s="76">
        <f t="shared" si="12"/>
        <v>0</v>
      </c>
    </row>
    <row r="48" spans="1:8" ht="15.75" customHeight="1" x14ac:dyDescent="0.25">
      <c r="A48" s="74" t="str">
        <f t="shared" si="5"/>
        <v>Potato</v>
      </c>
      <c r="B48" s="76">
        <f t="shared" si="6"/>
        <v>0</v>
      </c>
      <c r="C48" s="76">
        <f t="shared" si="7"/>
        <v>0</v>
      </c>
      <c r="D48" s="76">
        <f t="shared" si="8"/>
        <v>0</v>
      </c>
      <c r="E48" s="76">
        <f t="shared" si="9"/>
        <v>0</v>
      </c>
      <c r="F48" s="76">
        <f t="shared" si="10"/>
        <v>0</v>
      </c>
      <c r="G48" s="76">
        <f t="shared" si="11"/>
        <v>0</v>
      </c>
      <c r="H48" s="76">
        <f t="shared" si="12"/>
        <v>0</v>
      </c>
    </row>
    <row r="49" spans="1:8" ht="15.75" customHeight="1" x14ac:dyDescent="0.25">
      <c r="A49" s="74">
        <f t="shared" si="5"/>
        <v>0</v>
      </c>
      <c r="B49" s="76">
        <f t="shared" si="6"/>
        <v>0</v>
      </c>
      <c r="C49" s="76">
        <f t="shared" si="7"/>
        <v>0</v>
      </c>
      <c r="D49" s="76">
        <f t="shared" si="8"/>
        <v>0</v>
      </c>
      <c r="E49" s="76">
        <f t="shared" si="9"/>
        <v>0</v>
      </c>
      <c r="F49" s="76">
        <f t="shared" si="10"/>
        <v>0</v>
      </c>
      <c r="G49" s="76">
        <f t="shared" si="11"/>
        <v>0</v>
      </c>
      <c r="H49" s="76">
        <f t="shared" si="12"/>
        <v>0</v>
      </c>
    </row>
    <row r="50" spans="1:8" ht="15.75" customHeight="1" x14ac:dyDescent="0.25">
      <c r="A50" s="74">
        <f t="shared" si="5"/>
        <v>0</v>
      </c>
      <c r="B50" s="76">
        <f t="shared" si="6"/>
        <v>0</v>
      </c>
      <c r="C50" s="76">
        <f t="shared" si="7"/>
        <v>0</v>
      </c>
      <c r="D50" s="76">
        <f t="shared" si="8"/>
        <v>0</v>
      </c>
      <c r="E50" s="76">
        <f t="shared" si="9"/>
        <v>0</v>
      </c>
      <c r="F50" s="76">
        <f t="shared" si="10"/>
        <v>0</v>
      </c>
      <c r="G50" s="76">
        <f t="shared" si="11"/>
        <v>0</v>
      </c>
      <c r="H50" s="76">
        <f t="shared" si="12"/>
        <v>0</v>
      </c>
    </row>
    <row r="51" spans="1:8" ht="15.75" customHeight="1" x14ac:dyDescent="0.25">
      <c r="A51" s="74">
        <f t="shared" si="5"/>
        <v>0</v>
      </c>
      <c r="B51" s="76">
        <f t="shared" si="6"/>
        <v>0</v>
      </c>
      <c r="C51" s="76">
        <f t="shared" si="7"/>
        <v>0</v>
      </c>
      <c r="D51" s="76">
        <f t="shared" si="8"/>
        <v>0</v>
      </c>
      <c r="E51" s="76">
        <f t="shared" si="9"/>
        <v>0</v>
      </c>
      <c r="F51" s="76">
        <f t="shared" si="10"/>
        <v>0</v>
      </c>
      <c r="G51" s="76">
        <f t="shared" si="11"/>
        <v>0</v>
      </c>
      <c r="H51" s="76">
        <f t="shared" si="12"/>
        <v>0</v>
      </c>
    </row>
    <row r="52" spans="1:8" ht="15.75" customHeight="1" x14ac:dyDescent="0.25">
      <c r="A52" s="74">
        <f t="shared" si="5"/>
        <v>0</v>
      </c>
      <c r="B52" s="76">
        <f t="shared" si="6"/>
        <v>0</v>
      </c>
      <c r="C52" s="76">
        <f t="shared" si="7"/>
        <v>0</v>
      </c>
      <c r="D52" s="76">
        <f t="shared" si="8"/>
        <v>0</v>
      </c>
      <c r="E52" s="76">
        <f t="shared" si="9"/>
        <v>0</v>
      </c>
      <c r="F52" s="76">
        <f t="shared" si="10"/>
        <v>0</v>
      </c>
      <c r="G52" s="76">
        <f t="shared" si="11"/>
        <v>0</v>
      </c>
      <c r="H52" s="76">
        <f t="shared" si="12"/>
        <v>0</v>
      </c>
    </row>
    <row r="53" spans="1:8" ht="15.75" customHeight="1" x14ac:dyDescent="0.25">
      <c r="A53" s="74" t="str">
        <f t="shared" si="5"/>
        <v>Onion</v>
      </c>
      <c r="B53" s="76">
        <f t="shared" si="6"/>
        <v>0</v>
      </c>
      <c r="C53" s="76">
        <f t="shared" si="7"/>
        <v>0</v>
      </c>
      <c r="D53" s="76">
        <f t="shared" si="8"/>
        <v>0</v>
      </c>
      <c r="E53" s="76">
        <f t="shared" si="9"/>
        <v>0</v>
      </c>
      <c r="F53" s="76">
        <f t="shared" si="10"/>
        <v>0</v>
      </c>
      <c r="G53" s="76">
        <f t="shared" si="11"/>
        <v>0</v>
      </c>
      <c r="H53" s="76">
        <f t="shared" si="12"/>
        <v>0</v>
      </c>
    </row>
    <row r="54" spans="1:8" ht="15.75" customHeight="1" x14ac:dyDescent="0.25">
      <c r="A54" s="74" t="str">
        <f t="shared" si="5"/>
        <v>Tomato</v>
      </c>
      <c r="B54" s="76">
        <f t="shared" si="6"/>
        <v>0</v>
      </c>
      <c r="C54" s="76">
        <f t="shared" si="7"/>
        <v>0</v>
      </c>
      <c r="D54" s="76">
        <f t="shared" si="8"/>
        <v>0</v>
      </c>
      <c r="E54" s="76">
        <f t="shared" si="9"/>
        <v>0</v>
      </c>
      <c r="F54" s="76">
        <f t="shared" si="10"/>
        <v>0</v>
      </c>
      <c r="G54" s="76">
        <f t="shared" si="11"/>
        <v>0</v>
      </c>
      <c r="H54" s="76">
        <f t="shared" si="12"/>
        <v>0</v>
      </c>
    </row>
    <row r="55" spans="1:8" ht="15.75" customHeight="1" x14ac:dyDescent="0.25">
      <c r="A55" s="74" t="str">
        <f t="shared" si="5"/>
        <v>Okra</v>
      </c>
      <c r="B55" s="76">
        <f t="shared" si="6"/>
        <v>0</v>
      </c>
      <c r="C55" s="76">
        <f t="shared" si="7"/>
        <v>0</v>
      </c>
      <c r="D55" s="76">
        <f t="shared" si="8"/>
        <v>0</v>
      </c>
      <c r="E55" s="76">
        <f t="shared" si="9"/>
        <v>0</v>
      </c>
      <c r="F55" s="76">
        <f t="shared" si="10"/>
        <v>0</v>
      </c>
      <c r="G55" s="76">
        <f t="shared" si="11"/>
        <v>0</v>
      </c>
      <c r="H55" s="76">
        <f t="shared" si="12"/>
        <v>0</v>
      </c>
    </row>
    <row r="56" spans="1:8" ht="15.75" customHeight="1" x14ac:dyDescent="0.25">
      <c r="A56" s="74" t="str">
        <f t="shared" si="5"/>
        <v>Chilli</v>
      </c>
      <c r="B56" s="76">
        <f t="shared" si="6"/>
        <v>0</v>
      </c>
      <c r="C56" s="76">
        <f t="shared" si="7"/>
        <v>0</v>
      </c>
      <c r="D56" s="76">
        <f t="shared" si="8"/>
        <v>0</v>
      </c>
      <c r="E56" s="76">
        <f t="shared" si="9"/>
        <v>0</v>
      </c>
      <c r="F56" s="76">
        <f t="shared" si="10"/>
        <v>0</v>
      </c>
      <c r="G56" s="76">
        <f t="shared" si="11"/>
        <v>0</v>
      </c>
      <c r="H56" s="76">
        <f t="shared" si="12"/>
        <v>0</v>
      </c>
    </row>
    <row r="57" spans="1:8" ht="15.75" customHeight="1" x14ac:dyDescent="0.25">
      <c r="A57" s="74" t="str">
        <f t="shared" si="5"/>
        <v>Brinjal</v>
      </c>
      <c r="B57" s="76">
        <f t="shared" si="6"/>
        <v>0</v>
      </c>
      <c r="C57" s="76">
        <f t="shared" si="7"/>
        <v>0</v>
      </c>
      <c r="D57" s="76">
        <f t="shared" si="8"/>
        <v>0</v>
      </c>
      <c r="E57" s="76">
        <f t="shared" si="9"/>
        <v>0</v>
      </c>
      <c r="F57" s="76">
        <f t="shared" si="10"/>
        <v>0</v>
      </c>
      <c r="G57" s="76">
        <f t="shared" si="11"/>
        <v>0</v>
      </c>
      <c r="H57" s="76">
        <f t="shared" si="12"/>
        <v>0</v>
      </c>
    </row>
    <row r="58" spans="1:8" ht="15.75" customHeight="1" x14ac:dyDescent="0.25">
      <c r="A58" s="74">
        <f t="shared" si="5"/>
        <v>0</v>
      </c>
      <c r="B58" s="76">
        <f t="shared" si="6"/>
        <v>0</v>
      </c>
      <c r="C58" s="76">
        <f t="shared" si="7"/>
        <v>0</v>
      </c>
      <c r="D58" s="76">
        <f t="shared" si="8"/>
        <v>0</v>
      </c>
      <c r="E58" s="76">
        <f t="shared" si="9"/>
        <v>0</v>
      </c>
      <c r="F58" s="76">
        <f t="shared" si="10"/>
        <v>0</v>
      </c>
      <c r="G58" s="76">
        <f t="shared" si="11"/>
        <v>0</v>
      </c>
      <c r="H58" s="76">
        <f t="shared" si="12"/>
        <v>0</v>
      </c>
    </row>
    <row r="59" spans="1:8" ht="15.75" customHeight="1" x14ac:dyDescent="0.25">
      <c r="A59" s="74">
        <f t="shared" si="5"/>
        <v>0</v>
      </c>
      <c r="B59" s="76">
        <f t="shared" si="6"/>
        <v>0</v>
      </c>
      <c r="C59" s="76">
        <f t="shared" si="7"/>
        <v>0</v>
      </c>
      <c r="D59" s="76">
        <f t="shared" si="8"/>
        <v>0</v>
      </c>
      <c r="E59" s="76">
        <f t="shared" si="9"/>
        <v>0</v>
      </c>
      <c r="F59" s="76">
        <f t="shared" si="10"/>
        <v>0</v>
      </c>
      <c r="G59" s="76">
        <f t="shared" si="11"/>
        <v>0</v>
      </c>
      <c r="H59" s="76">
        <f t="shared" si="12"/>
        <v>0</v>
      </c>
    </row>
    <row r="60" spans="1:8" ht="15.75" customHeight="1" x14ac:dyDescent="0.25">
      <c r="A60" s="74">
        <f t="shared" si="5"/>
        <v>0</v>
      </c>
      <c r="B60" s="76">
        <f t="shared" si="6"/>
        <v>0</v>
      </c>
      <c r="C60" s="76">
        <f t="shared" si="7"/>
        <v>0</v>
      </c>
      <c r="D60" s="76">
        <f t="shared" si="8"/>
        <v>0</v>
      </c>
      <c r="E60" s="76">
        <f t="shared" si="9"/>
        <v>0</v>
      </c>
      <c r="F60" s="76">
        <f t="shared" si="10"/>
        <v>0</v>
      </c>
      <c r="G60" s="76">
        <f t="shared" si="11"/>
        <v>0</v>
      </c>
      <c r="H60" s="76">
        <f t="shared" si="12"/>
        <v>0</v>
      </c>
    </row>
    <row r="61" spans="1:8" ht="15.75" customHeight="1" x14ac:dyDescent="0.25">
      <c r="A61" s="74">
        <f t="shared" si="5"/>
        <v>0</v>
      </c>
      <c r="B61" s="76">
        <f t="shared" si="6"/>
        <v>0</v>
      </c>
      <c r="C61" s="76">
        <f t="shared" si="7"/>
        <v>0</v>
      </c>
      <c r="D61" s="76">
        <f t="shared" si="8"/>
        <v>0</v>
      </c>
      <c r="E61" s="76">
        <f t="shared" si="9"/>
        <v>0</v>
      </c>
      <c r="F61" s="76">
        <f t="shared" si="10"/>
        <v>0</v>
      </c>
      <c r="G61" s="76">
        <f t="shared" si="11"/>
        <v>0</v>
      </c>
      <c r="H61" s="76">
        <f t="shared" si="12"/>
        <v>0</v>
      </c>
    </row>
    <row r="62" spans="1:8" ht="15.75" customHeight="1" x14ac:dyDescent="0.25">
      <c r="A62" s="74" t="str">
        <f t="shared" ref="A62:A65" si="13">A34</f>
        <v>Pomegranate</v>
      </c>
      <c r="B62" s="76">
        <f t="shared" ref="B62:H62" si="14">B34*$B$41</f>
        <v>0</v>
      </c>
      <c r="C62" s="76">
        <f t="shared" si="14"/>
        <v>0</v>
      </c>
      <c r="D62" s="76">
        <f t="shared" si="14"/>
        <v>0</v>
      </c>
      <c r="E62" s="76">
        <f t="shared" si="14"/>
        <v>0</v>
      </c>
      <c r="F62" s="76">
        <f t="shared" si="14"/>
        <v>0</v>
      </c>
      <c r="G62" s="76">
        <f t="shared" si="14"/>
        <v>0</v>
      </c>
      <c r="H62" s="76">
        <f t="shared" si="14"/>
        <v>0</v>
      </c>
    </row>
    <row r="63" spans="1:8" ht="15.75" customHeight="1" x14ac:dyDescent="0.25">
      <c r="A63" s="74" t="str">
        <f t="shared" si="13"/>
        <v>Custard Apple</v>
      </c>
      <c r="B63" s="76">
        <f t="shared" ref="B63:H63" si="15">B35*$B$41</f>
        <v>0</v>
      </c>
      <c r="C63" s="76">
        <f t="shared" si="15"/>
        <v>0</v>
      </c>
      <c r="D63" s="76">
        <f t="shared" si="15"/>
        <v>0</v>
      </c>
      <c r="E63" s="76">
        <f t="shared" si="15"/>
        <v>0</v>
      </c>
      <c r="F63" s="76">
        <f t="shared" si="15"/>
        <v>0</v>
      </c>
      <c r="G63" s="76">
        <f t="shared" si="15"/>
        <v>0</v>
      </c>
      <c r="H63" s="76">
        <f t="shared" si="15"/>
        <v>0</v>
      </c>
    </row>
    <row r="64" spans="1:8" ht="15.75" customHeight="1" x14ac:dyDescent="0.25">
      <c r="A64" s="74" t="str">
        <f t="shared" si="13"/>
        <v>Guava</v>
      </c>
      <c r="B64" s="76">
        <f t="shared" ref="B64:H64" si="16">B36*$B$41</f>
        <v>0</v>
      </c>
      <c r="C64" s="76">
        <f t="shared" si="16"/>
        <v>0</v>
      </c>
      <c r="D64" s="76">
        <f t="shared" si="16"/>
        <v>0</v>
      </c>
      <c r="E64" s="76">
        <f t="shared" si="16"/>
        <v>0</v>
      </c>
      <c r="F64" s="76">
        <f t="shared" si="16"/>
        <v>0</v>
      </c>
      <c r="G64" s="76">
        <f t="shared" si="16"/>
        <v>0</v>
      </c>
      <c r="H64" s="76">
        <f t="shared" si="16"/>
        <v>0</v>
      </c>
    </row>
    <row r="65" spans="1:8" ht="15.75" customHeight="1" x14ac:dyDescent="0.25">
      <c r="A65" s="74" t="str">
        <f t="shared" si="13"/>
        <v>Citrus</v>
      </c>
      <c r="B65" s="76">
        <f t="shared" ref="B65:H65" si="17">B37*$B$41</f>
        <v>0</v>
      </c>
      <c r="C65" s="76">
        <f t="shared" si="17"/>
        <v>0</v>
      </c>
      <c r="D65" s="76">
        <f t="shared" si="17"/>
        <v>0</v>
      </c>
      <c r="E65" s="76">
        <f t="shared" si="17"/>
        <v>0</v>
      </c>
      <c r="F65" s="76">
        <f t="shared" si="17"/>
        <v>0</v>
      </c>
      <c r="G65" s="76">
        <f t="shared" si="17"/>
        <v>0</v>
      </c>
      <c r="H65" s="76">
        <f t="shared" si="17"/>
        <v>0</v>
      </c>
    </row>
    <row r="66" spans="1:8" ht="15.75" customHeight="1" x14ac:dyDescent="0.25">
      <c r="A66" s="77" t="s">
        <v>608</v>
      </c>
      <c r="B66" s="74"/>
      <c r="C66" s="74"/>
      <c r="D66" s="74"/>
      <c r="E66" s="74"/>
      <c r="F66" s="74"/>
      <c r="G66" s="74"/>
      <c r="H66" s="74"/>
    </row>
    <row r="67" spans="1:8" ht="15.75" customHeight="1" x14ac:dyDescent="0.25">
      <c r="A67" s="74" t="str">
        <f>A44</f>
        <v>Onion</v>
      </c>
      <c r="B67" s="234"/>
      <c r="C67" s="234"/>
      <c r="D67" s="234"/>
      <c r="E67" s="234"/>
      <c r="F67" s="234"/>
      <c r="G67" s="234"/>
      <c r="H67" s="234"/>
    </row>
    <row r="68" spans="1:8" ht="15.75" customHeight="1" x14ac:dyDescent="0.25">
      <c r="A68" s="74"/>
      <c r="B68" s="234"/>
      <c r="C68" s="234"/>
      <c r="D68" s="234"/>
      <c r="E68" s="234"/>
      <c r="F68" s="234"/>
      <c r="G68" s="234"/>
      <c r="H68" s="234"/>
    </row>
    <row r="69" spans="1:8" ht="15.75" customHeight="1" x14ac:dyDescent="0.25">
      <c r="A69" s="74"/>
      <c r="B69" s="234"/>
      <c r="C69" s="234"/>
      <c r="D69" s="234"/>
      <c r="E69" s="234"/>
      <c r="F69" s="234"/>
      <c r="G69" s="234"/>
      <c r="H69" s="234"/>
    </row>
    <row r="70" spans="1:8" ht="15.75" customHeight="1" x14ac:dyDescent="0.25">
      <c r="A70" s="74"/>
      <c r="B70" s="234"/>
      <c r="C70" s="234"/>
      <c r="D70" s="234"/>
      <c r="E70" s="234"/>
      <c r="F70" s="234"/>
      <c r="G70" s="234"/>
      <c r="H70" s="234"/>
    </row>
    <row r="71" spans="1:8" ht="15.75" customHeight="1" x14ac:dyDescent="0.25">
      <c r="A71" s="74" t="str">
        <f>A45</f>
        <v>Tomato</v>
      </c>
      <c r="B71" s="76"/>
      <c r="C71" s="76"/>
      <c r="D71" s="76"/>
      <c r="E71" s="76"/>
      <c r="F71" s="76"/>
      <c r="G71" s="76"/>
      <c r="H71" s="76"/>
    </row>
    <row r="72" spans="1:8" ht="15.75" customHeight="1" x14ac:dyDescent="0.25">
      <c r="A72" s="74"/>
      <c r="B72" s="76"/>
      <c r="C72" s="76"/>
      <c r="D72" s="76"/>
      <c r="E72" s="76"/>
      <c r="F72" s="76"/>
      <c r="G72" s="76"/>
      <c r="H72" s="76"/>
    </row>
    <row r="73" spans="1:8" ht="15.75" customHeight="1" x14ac:dyDescent="0.25">
      <c r="A73" s="74"/>
      <c r="B73" s="76"/>
      <c r="C73" s="76"/>
      <c r="D73" s="76"/>
      <c r="E73" s="76"/>
      <c r="F73" s="76"/>
      <c r="G73" s="76"/>
      <c r="H73" s="76"/>
    </row>
    <row r="74" spans="1:8" ht="15.75" customHeight="1" x14ac:dyDescent="0.25">
      <c r="A74" s="74"/>
      <c r="B74" s="76"/>
      <c r="C74" s="76"/>
      <c r="D74" s="76"/>
      <c r="E74" s="76"/>
      <c r="F74" s="76"/>
      <c r="G74" s="76"/>
      <c r="H74" s="76"/>
    </row>
    <row r="75" spans="1:8" ht="15.75" customHeight="1" x14ac:dyDescent="0.25">
      <c r="A75" s="74" t="str">
        <f>A46</f>
        <v>Okra</v>
      </c>
      <c r="B75" s="76"/>
      <c r="C75" s="76"/>
      <c r="D75" s="76"/>
      <c r="E75" s="76"/>
      <c r="F75" s="76"/>
      <c r="G75" s="76"/>
      <c r="H75" s="76"/>
    </row>
    <row r="76" spans="1:8" ht="15.75" customHeight="1" x14ac:dyDescent="0.25">
      <c r="A76" s="74"/>
      <c r="B76" s="76"/>
      <c r="C76" s="76"/>
      <c r="D76" s="76"/>
      <c r="E76" s="76"/>
      <c r="F76" s="76"/>
      <c r="G76" s="76"/>
      <c r="H76" s="76"/>
    </row>
    <row r="77" spans="1:8" ht="15.75" customHeight="1" x14ac:dyDescent="0.25">
      <c r="A77" s="74"/>
      <c r="B77" s="76"/>
      <c r="C77" s="76"/>
      <c r="D77" s="76"/>
      <c r="E77" s="76"/>
      <c r="F77" s="76"/>
      <c r="G77" s="76"/>
      <c r="H77" s="76"/>
    </row>
    <row r="78" spans="1:8" ht="15.75" customHeight="1" x14ac:dyDescent="0.25">
      <c r="A78" s="74"/>
      <c r="B78" s="76"/>
      <c r="C78" s="76"/>
      <c r="D78" s="76"/>
      <c r="E78" s="76"/>
      <c r="F78" s="76"/>
      <c r="G78" s="76"/>
      <c r="H78" s="76"/>
    </row>
    <row r="79" spans="1:8" ht="15.75" customHeight="1" x14ac:dyDescent="0.25">
      <c r="A79" s="74" t="str">
        <f>A47</f>
        <v>Chilli</v>
      </c>
      <c r="B79" s="76"/>
      <c r="C79" s="76"/>
      <c r="D79" s="76"/>
      <c r="E79" s="76"/>
      <c r="F79" s="76"/>
      <c r="G79" s="76"/>
      <c r="H79" s="76"/>
    </row>
    <row r="80" spans="1:8" ht="15.75" customHeight="1" x14ac:dyDescent="0.25">
      <c r="A80" s="74"/>
      <c r="B80" s="76"/>
      <c r="C80" s="76"/>
      <c r="D80" s="76"/>
      <c r="E80" s="76"/>
      <c r="F80" s="76"/>
      <c r="G80" s="76"/>
      <c r="H80" s="76"/>
    </row>
    <row r="81" spans="1:8" ht="15.75" customHeight="1" x14ac:dyDescent="0.25">
      <c r="A81" s="74"/>
      <c r="B81" s="76"/>
      <c r="C81" s="76"/>
      <c r="D81" s="76"/>
      <c r="E81" s="76"/>
      <c r="F81" s="76"/>
      <c r="G81" s="76"/>
      <c r="H81" s="76"/>
    </row>
    <row r="82" spans="1:8" ht="15.75" customHeight="1" x14ac:dyDescent="0.25">
      <c r="A82" s="74"/>
      <c r="B82" s="76"/>
      <c r="C82" s="76"/>
      <c r="D82" s="76"/>
      <c r="E82" s="76"/>
      <c r="F82" s="76"/>
      <c r="G82" s="76"/>
      <c r="H82" s="76"/>
    </row>
    <row r="83" spans="1:8" ht="15.75" customHeight="1" x14ac:dyDescent="0.25">
      <c r="A83" s="74" t="str">
        <f>A48</f>
        <v>Potato</v>
      </c>
      <c r="B83" s="76"/>
      <c r="C83" s="76"/>
      <c r="D83" s="76"/>
      <c r="E83" s="76"/>
      <c r="F83" s="76"/>
      <c r="G83" s="76"/>
      <c r="H83" s="76"/>
    </row>
    <row r="84" spans="1:8" ht="15.75" customHeight="1" x14ac:dyDescent="0.25">
      <c r="A84" s="74"/>
      <c r="B84" s="76"/>
      <c r="C84" s="76"/>
      <c r="D84" s="76"/>
      <c r="E84" s="76"/>
      <c r="F84" s="76"/>
      <c r="G84" s="76"/>
      <c r="H84" s="76"/>
    </row>
    <row r="85" spans="1:8" ht="15.75" customHeight="1" x14ac:dyDescent="0.25">
      <c r="A85" s="74"/>
      <c r="B85" s="76"/>
      <c r="C85" s="76"/>
      <c r="D85" s="76"/>
      <c r="E85" s="76"/>
      <c r="F85" s="76"/>
      <c r="G85" s="76"/>
      <c r="H85" s="76"/>
    </row>
    <row r="86" spans="1:8" ht="15.75" customHeight="1" x14ac:dyDescent="0.25">
      <c r="A86" s="74"/>
      <c r="B86" s="76"/>
      <c r="C86" s="76"/>
      <c r="D86" s="76"/>
      <c r="E86" s="76"/>
      <c r="F86" s="76"/>
      <c r="G86" s="76"/>
      <c r="H86" s="76"/>
    </row>
    <row r="87" spans="1:8" ht="15.75" customHeight="1" x14ac:dyDescent="0.25">
      <c r="A87" s="74">
        <f>A49</f>
        <v>0</v>
      </c>
      <c r="B87" s="76"/>
      <c r="C87" s="76"/>
      <c r="D87" s="76"/>
      <c r="E87" s="76"/>
      <c r="F87" s="76"/>
      <c r="G87" s="76"/>
      <c r="H87" s="76"/>
    </row>
    <row r="88" spans="1:8" ht="15.75" customHeight="1" x14ac:dyDescent="0.25">
      <c r="A88" s="74"/>
      <c r="B88" s="76"/>
      <c r="C88" s="76"/>
      <c r="D88" s="76"/>
      <c r="E88" s="76"/>
      <c r="F88" s="76"/>
      <c r="G88" s="76"/>
      <c r="H88" s="76"/>
    </row>
    <row r="89" spans="1:8" ht="15.75" customHeight="1" x14ac:dyDescent="0.25">
      <c r="A89" s="74"/>
      <c r="B89" s="76"/>
      <c r="C89" s="76"/>
      <c r="D89" s="76"/>
      <c r="E89" s="76"/>
      <c r="F89" s="76"/>
      <c r="G89" s="76"/>
      <c r="H89" s="76"/>
    </row>
    <row r="90" spans="1:8" ht="15.75" customHeight="1" x14ac:dyDescent="0.25">
      <c r="A90" s="74"/>
      <c r="B90" s="76"/>
      <c r="C90" s="76"/>
      <c r="D90" s="76"/>
      <c r="E90" s="76"/>
      <c r="F90" s="76"/>
      <c r="G90" s="76"/>
      <c r="H90" s="76"/>
    </row>
    <row r="91" spans="1:8" ht="15.75" customHeight="1" x14ac:dyDescent="0.25">
      <c r="A91" s="74">
        <f>A50</f>
        <v>0</v>
      </c>
      <c r="B91" s="76"/>
      <c r="C91" s="76"/>
      <c r="D91" s="76"/>
      <c r="E91" s="76"/>
      <c r="F91" s="76"/>
      <c r="G91" s="76"/>
      <c r="H91" s="76"/>
    </row>
    <row r="92" spans="1:8" ht="15.75" customHeight="1" x14ac:dyDescent="0.25">
      <c r="A92" s="74"/>
      <c r="B92" s="76"/>
      <c r="C92" s="76"/>
      <c r="D92" s="76"/>
      <c r="E92" s="76"/>
      <c r="F92" s="76"/>
      <c r="G92" s="76"/>
      <c r="H92" s="76"/>
    </row>
    <row r="93" spans="1:8" ht="15.75" customHeight="1" x14ac:dyDescent="0.25">
      <c r="A93" s="74"/>
      <c r="B93" s="76"/>
      <c r="C93" s="76"/>
      <c r="D93" s="76"/>
      <c r="E93" s="76"/>
      <c r="F93" s="76"/>
      <c r="G93" s="76"/>
      <c r="H93" s="76"/>
    </row>
    <row r="94" spans="1:8" ht="15.75" hidden="1" customHeight="1" x14ac:dyDescent="0.25">
      <c r="A94" s="74">
        <f>A51</f>
        <v>0</v>
      </c>
      <c r="B94" s="76"/>
      <c r="C94" s="76"/>
      <c r="D94" s="76"/>
      <c r="E94" s="76"/>
      <c r="F94" s="76"/>
      <c r="G94" s="76"/>
      <c r="H94" s="76"/>
    </row>
    <row r="95" spans="1:8" ht="15.75" hidden="1" customHeight="1" x14ac:dyDescent="0.25">
      <c r="A95" s="74"/>
      <c r="B95" s="76"/>
      <c r="C95" s="76"/>
      <c r="D95" s="76"/>
      <c r="E95" s="76"/>
      <c r="F95" s="76"/>
      <c r="G95" s="76"/>
      <c r="H95" s="76"/>
    </row>
    <row r="96" spans="1:8" ht="15.75" hidden="1" customHeight="1" x14ac:dyDescent="0.25">
      <c r="A96" s="74"/>
      <c r="B96" s="76"/>
      <c r="C96" s="76"/>
      <c r="D96" s="76"/>
      <c r="E96" s="76"/>
      <c r="F96" s="76"/>
      <c r="G96" s="76"/>
      <c r="H96" s="76"/>
    </row>
    <row r="97" spans="1:8" ht="15.75" hidden="1" customHeight="1" x14ac:dyDescent="0.25">
      <c r="A97" s="74"/>
      <c r="B97" s="76"/>
      <c r="C97" s="76"/>
      <c r="D97" s="76"/>
      <c r="E97" s="76"/>
      <c r="F97" s="76"/>
      <c r="G97" s="76"/>
      <c r="H97" s="76"/>
    </row>
    <row r="98" spans="1:8" ht="15.75" hidden="1" customHeight="1" x14ac:dyDescent="0.25">
      <c r="A98" s="74">
        <f>A52</f>
        <v>0</v>
      </c>
      <c r="B98" s="76"/>
      <c r="C98" s="76"/>
      <c r="D98" s="76"/>
      <c r="E98" s="76"/>
      <c r="F98" s="76"/>
      <c r="G98" s="76"/>
      <c r="H98" s="76"/>
    </row>
    <row r="99" spans="1:8" ht="15.75" hidden="1" customHeight="1" x14ac:dyDescent="0.25">
      <c r="A99" s="74"/>
      <c r="B99" s="76"/>
      <c r="C99" s="76"/>
      <c r="D99" s="76"/>
      <c r="E99" s="76"/>
      <c r="F99" s="76"/>
      <c r="G99" s="76"/>
      <c r="H99" s="76"/>
    </row>
    <row r="100" spans="1:8" ht="15.75" hidden="1" customHeight="1" x14ac:dyDescent="0.25">
      <c r="A100" s="74"/>
      <c r="B100" s="76"/>
      <c r="C100" s="76"/>
      <c r="D100" s="76"/>
      <c r="E100" s="76"/>
      <c r="F100" s="76"/>
      <c r="G100" s="76"/>
      <c r="H100" s="76"/>
    </row>
    <row r="101" spans="1:8" ht="15.75" customHeight="1" x14ac:dyDescent="0.25">
      <c r="A101" s="74"/>
      <c r="B101" s="76"/>
      <c r="C101" s="76"/>
      <c r="D101" s="76"/>
      <c r="E101" s="76"/>
      <c r="F101" s="76"/>
      <c r="G101" s="76"/>
      <c r="H101" s="76"/>
    </row>
    <row r="102" spans="1:8" ht="15.75" customHeight="1" x14ac:dyDescent="0.25">
      <c r="A102" s="74" t="str">
        <f>A53</f>
        <v>Onion</v>
      </c>
      <c r="B102" s="76"/>
      <c r="C102" s="76"/>
      <c r="D102" s="76"/>
      <c r="E102" s="76"/>
      <c r="F102" s="76"/>
      <c r="G102" s="76"/>
      <c r="H102" s="76"/>
    </row>
    <row r="103" spans="1:8" ht="15.75" customHeight="1" x14ac:dyDescent="0.25">
      <c r="A103" s="74"/>
      <c r="B103" s="76"/>
      <c r="C103" s="76"/>
      <c r="D103" s="76"/>
      <c r="E103" s="76"/>
      <c r="F103" s="76"/>
      <c r="G103" s="76"/>
      <c r="H103" s="76"/>
    </row>
    <row r="104" spans="1:8" ht="15.75" customHeight="1" x14ac:dyDescent="0.25">
      <c r="A104" s="74"/>
      <c r="B104" s="76"/>
      <c r="C104" s="76"/>
      <c r="D104" s="76"/>
      <c r="E104" s="76"/>
      <c r="F104" s="76"/>
      <c r="G104" s="76"/>
      <c r="H104" s="76"/>
    </row>
    <row r="105" spans="1:8" ht="15.75" customHeight="1" x14ac:dyDescent="0.25">
      <c r="A105" s="74"/>
      <c r="B105" s="76"/>
      <c r="C105" s="76"/>
      <c r="D105" s="76"/>
      <c r="E105" s="76"/>
      <c r="F105" s="76"/>
      <c r="G105" s="76"/>
      <c r="H105" s="76"/>
    </row>
    <row r="106" spans="1:8" ht="15.75" customHeight="1" x14ac:dyDescent="0.25">
      <c r="A106" s="74" t="str">
        <f>A54</f>
        <v>Tomato</v>
      </c>
      <c r="B106" s="76"/>
      <c r="C106" s="76"/>
      <c r="D106" s="76"/>
      <c r="E106" s="76"/>
      <c r="F106" s="76"/>
      <c r="G106" s="76"/>
      <c r="H106" s="76"/>
    </row>
    <row r="107" spans="1:8" ht="15.75" customHeight="1" x14ac:dyDescent="0.25">
      <c r="A107" s="74"/>
      <c r="B107" s="76"/>
      <c r="C107" s="76"/>
      <c r="D107" s="76"/>
      <c r="E107" s="76"/>
      <c r="F107" s="76"/>
      <c r="G107" s="76"/>
      <c r="H107" s="76"/>
    </row>
    <row r="108" spans="1:8" ht="15.75" customHeight="1" x14ac:dyDescent="0.25">
      <c r="A108" s="74"/>
      <c r="B108" s="76"/>
      <c r="C108" s="76"/>
      <c r="D108" s="76"/>
      <c r="E108" s="76"/>
      <c r="F108" s="76"/>
      <c r="G108" s="76"/>
      <c r="H108" s="76"/>
    </row>
    <row r="109" spans="1:8" ht="15.75" customHeight="1" x14ac:dyDescent="0.25">
      <c r="A109" s="74"/>
      <c r="B109" s="76"/>
      <c r="C109" s="76"/>
      <c r="D109" s="76"/>
      <c r="E109" s="76"/>
      <c r="F109" s="76"/>
      <c r="G109" s="76"/>
      <c r="H109" s="76"/>
    </row>
    <row r="110" spans="1:8" ht="15.75" customHeight="1" x14ac:dyDescent="0.25">
      <c r="A110" s="74" t="str">
        <f>A55</f>
        <v>Okra</v>
      </c>
      <c r="B110" s="76"/>
      <c r="C110" s="76"/>
      <c r="D110" s="76"/>
      <c r="E110" s="76"/>
      <c r="F110" s="76"/>
      <c r="G110" s="76"/>
      <c r="H110" s="76"/>
    </row>
    <row r="111" spans="1:8" ht="15.75" customHeight="1" x14ac:dyDescent="0.25">
      <c r="A111" s="74"/>
      <c r="B111" s="76"/>
      <c r="C111" s="76"/>
      <c r="D111" s="76"/>
      <c r="E111" s="76"/>
      <c r="F111" s="76"/>
      <c r="G111" s="76"/>
      <c r="H111" s="76"/>
    </row>
    <row r="112" spans="1:8" ht="15.75" customHeight="1" x14ac:dyDescent="0.25">
      <c r="A112" s="74"/>
      <c r="B112" s="76"/>
      <c r="C112" s="76"/>
      <c r="D112" s="76"/>
      <c r="E112" s="76"/>
      <c r="F112" s="76"/>
      <c r="G112" s="76"/>
      <c r="H112" s="76"/>
    </row>
    <row r="113" spans="1:8" ht="15.75" customHeight="1" x14ac:dyDescent="0.25">
      <c r="A113" s="74"/>
      <c r="B113" s="76"/>
      <c r="C113" s="76"/>
      <c r="D113" s="76"/>
      <c r="E113" s="76"/>
      <c r="F113" s="76"/>
      <c r="G113" s="76"/>
      <c r="H113" s="76"/>
    </row>
    <row r="114" spans="1:8" ht="15.75" customHeight="1" x14ac:dyDescent="0.25">
      <c r="A114" s="74" t="str">
        <f>A56</f>
        <v>Chilli</v>
      </c>
      <c r="B114" s="76"/>
      <c r="C114" s="76"/>
      <c r="D114" s="76"/>
      <c r="E114" s="76"/>
      <c r="F114" s="76"/>
      <c r="G114" s="76"/>
      <c r="H114" s="76"/>
    </row>
    <row r="115" spans="1:8" ht="15.75" customHeight="1" x14ac:dyDescent="0.25">
      <c r="A115" s="74"/>
      <c r="B115" s="76"/>
      <c r="C115" s="76"/>
      <c r="D115" s="76"/>
      <c r="E115" s="76"/>
      <c r="F115" s="76"/>
      <c r="G115" s="76"/>
      <c r="H115" s="76"/>
    </row>
    <row r="116" spans="1:8" ht="15.75" customHeight="1" x14ac:dyDescent="0.25">
      <c r="A116" s="74"/>
      <c r="B116" s="76"/>
      <c r="C116" s="76"/>
      <c r="D116" s="76"/>
      <c r="E116" s="76"/>
      <c r="F116" s="76"/>
      <c r="G116" s="76"/>
      <c r="H116" s="76"/>
    </row>
    <row r="117" spans="1:8" ht="15.75" customHeight="1" x14ac:dyDescent="0.25">
      <c r="A117" s="74"/>
      <c r="B117" s="76"/>
      <c r="C117" s="76"/>
      <c r="D117" s="76"/>
      <c r="E117" s="76"/>
      <c r="F117" s="76"/>
      <c r="G117" s="76"/>
      <c r="H117" s="76"/>
    </row>
    <row r="118" spans="1:8" ht="15.75" customHeight="1" x14ac:dyDescent="0.25">
      <c r="A118" s="77" t="str">
        <f t="shared" ref="A118:A123" si="18">A57</f>
        <v>Brinjal</v>
      </c>
      <c r="B118" s="76"/>
      <c r="C118" s="76"/>
      <c r="D118" s="76"/>
      <c r="E118" s="76"/>
      <c r="F118" s="76"/>
      <c r="G118" s="76"/>
      <c r="H118" s="76"/>
    </row>
    <row r="119" spans="1:8" ht="15.75" customHeight="1" x14ac:dyDescent="0.25">
      <c r="A119" s="74">
        <f t="shared" si="18"/>
        <v>0</v>
      </c>
      <c r="B119" s="76"/>
      <c r="C119" s="76"/>
      <c r="D119" s="76"/>
      <c r="E119" s="76"/>
      <c r="F119" s="76"/>
      <c r="G119" s="76"/>
      <c r="H119" s="76"/>
    </row>
    <row r="120" spans="1:8" ht="15.75" customHeight="1" x14ac:dyDescent="0.25">
      <c r="A120" s="74">
        <f t="shared" si="18"/>
        <v>0</v>
      </c>
      <c r="B120" s="76"/>
      <c r="C120" s="76"/>
      <c r="D120" s="76"/>
      <c r="E120" s="76"/>
      <c r="F120" s="76"/>
      <c r="G120" s="76"/>
      <c r="H120" s="76"/>
    </row>
    <row r="121" spans="1:8" ht="15.75" customHeight="1" x14ac:dyDescent="0.25">
      <c r="A121" s="74">
        <f t="shared" si="18"/>
        <v>0</v>
      </c>
      <c r="B121" s="76"/>
      <c r="C121" s="76"/>
      <c r="D121" s="76"/>
      <c r="E121" s="76"/>
      <c r="F121" s="76"/>
      <c r="G121" s="76"/>
      <c r="H121" s="76"/>
    </row>
    <row r="122" spans="1:8" ht="15.75" customHeight="1" x14ac:dyDescent="0.25">
      <c r="A122" s="74">
        <f t="shared" si="18"/>
        <v>0</v>
      </c>
      <c r="B122" s="76"/>
      <c r="C122" s="76"/>
      <c r="D122" s="76"/>
      <c r="E122" s="76"/>
      <c r="F122" s="76"/>
      <c r="G122" s="76"/>
      <c r="H122" s="76"/>
    </row>
    <row r="123" spans="1:8" ht="15.75" customHeight="1" x14ac:dyDescent="0.25">
      <c r="A123" s="77" t="str">
        <f t="shared" si="18"/>
        <v>Pomegranate</v>
      </c>
      <c r="B123" s="76"/>
      <c r="C123" s="76"/>
      <c r="D123" s="76"/>
      <c r="E123" s="76"/>
      <c r="F123" s="76"/>
      <c r="G123" s="76"/>
      <c r="H123" s="76"/>
    </row>
    <row r="124" spans="1:8" ht="15.75" customHeight="1" x14ac:dyDescent="0.25">
      <c r="A124" s="74" t="s">
        <v>690</v>
      </c>
      <c r="B124" s="76">
        <f t="shared" ref="B124:H124" si="19">(B$62*50%)*0.7</f>
        <v>0</v>
      </c>
      <c r="C124" s="76">
        <f t="shared" si="19"/>
        <v>0</v>
      </c>
      <c r="D124" s="76">
        <f t="shared" si="19"/>
        <v>0</v>
      </c>
      <c r="E124" s="76">
        <f t="shared" si="19"/>
        <v>0</v>
      </c>
      <c r="F124" s="76">
        <f t="shared" si="19"/>
        <v>0</v>
      </c>
      <c r="G124" s="76">
        <f t="shared" si="19"/>
        <v>0</v>
      </c>
      <c r="H124" s="76">
        <f t="shared" si="19"/>
        <v>0</v>
      </c>
    </row>
    <row r="125" spans="1:8" ht="15.75" customHeight="1" x14ac:dyDescent="0.25">
      <c r="A125" s="74" t="s">
        <v>691</v>
      </c>
      <c r="B125" s="76">
        <f>(B$62*50%)*0.7*2</f>
        <v>0</v>
      </c>
      <c r="C125" s="76">
        <f t="shared" ref="C125:H125" si="20">(C$62*50%)*0.7</f>
        <v>0</v>
      </c>
      <c r="D125" s="76">
        <f t="shared" si="20"/>
        <v>0</v>
      </c>
      <c r="E125" s="76">
        <f t="shared" si="20"/>
        <v>0</v>
      </c>
      <c r="F125" s="76">
        <f t="shared" si="20"/>
        <v>0</v>
      </c>
      <c r="G125" s="76">
        <f t="shared" si="20"/>
        <v>0</v>
      </c>
      <c r="H125" s="76">
        <f t="shared" si="20"/>
        <v>0</v>
      </c>
    </row>
    <row r="126" spans="1:8" ht="15.75" customHeight="1" x14ac:dyDescent="0.25">
      <c r="A126" s="74" t="s">
        <v>692</v>
      </c>
      <c r="B126" s="76">
        <f>(B$62*0.3)*0.2</f>
        <v>0</v>
      </c>
      <c r="C126" s="76">
        <f t="shared" ref="C126:H126" si="21">(C$62*50%)*0.7</f>
        <v>0</v>
      </c>
      <c r="D126" s="76">
        <f t="shared" si="21"/>
        <v>0</v>
      </c>
      <c r="E126" s="76">
        <f t="shared" si="21"/>
        <v>0</v>
      </c>
      <c r="F126" s="76">
        <f t="shared" si="21"/>
        <v>0</v>
      </c>
      <c r="G126" s="76">
        <f t="shared" si="21"/>
        <v>0</v>
      </c>
      <c r="H126" s="76">
        <f t="shared" si="21"/>
        <v>0</v>
      </c>
    </row>
    <row r="127" spans="1:8" ht="15.75" customHeight="1" x14ac:dyDescent="0.25">
      <c r="A127" s="74" t="str">
        <f>A63</f>
        <v>Custard Apple</v>
      </c>
      <c r="B127" s="76"/>
      <c r="C127" s="76"/>
      <c r="D127" s="76"/>
      <c r="E127" s="76"/>
      <c r="F127" s="76"/>
      <c r="G127" s="76"/>
      <c r="H127" s="76"/>
    </row>
    <row r="128" spans="1:8" ht="15.75" customHeight="1" x14ac:dyDescent="0.25">
      <c r="A128" s="74"/>
      <c r="B128" s="76"/>
      <c r="C128" s="76"/>
      <c r="D128" s="76"/>
      <c r="E128" s="76"/>
      <c r="F128" s="76"/>
      <c r="G128" s="76"/>
      <c r="H128" s="76"/>
    </row>
    <row r="129" spans="1:8" ht="15.75" customHeight="1" x14ac:dyDescent="0.25">
      <c r="A129" s="74"/>
      <c r="B129" s="76"/>
      <c r="C129" s="76"/>
      <c r="D129" s="76"/>
      <c r="E129" s="76"/>
      <c r="F129" s="76"/>
      <c r="G129" s="76"/>
      <c r="H129" s="76"/>
    </row>
    <row r="130" spans="1:8" ht="15.75" customHeight="1" x14ac:dyDescent="0.25">
      <c r="A130" s="74"/>
      <c r="B130" s="76"/>
      <c r="C130" s="76"/>
      <c r="D130" s="76"/>
      <c r="E130" s="76"/>
      <c r="F130" s="76"/>
      <c r="G130" s="76"/>
      <c r="H130" s="76"/>
    </row>
    <row r="131" spans="1:8" ht="15.75" customHeight="1" x14ac:dyDescent="0.25">
      <c r="A131" s="74" t="str">
        <f>A64</f>
        <v>Guava</v>
      </c>
      <c r="B131" s="76"/>
      <c r="C131" s="76"/>
      <c r="D131" s="76"/>
      <c r="E131" s="76"/>
      <c r="F131" s="76"/>
      <c r="G131" s="76"/>
      <c r="H131" s="76"/>
    </row>
    <row r="132" spans="1:8" ht="15.75" customHeight="1" x14ac:dyDescent="0.25">
      <c r="A132" s="74"/>
      <c r="B132" s="76"/>
      <c r="C132" s="76"/>
      <c r="D132" s="76"/>
      <c r="E132" s="76"/>
      <c r="F132" s="76"/>
      <c r="G132" s="76"/>
      <c r="H132" s="76"/>
    </row>
    <row r="133" spans="1:8" ht="15.75" customHeight="1" x14ac:dyDescent="0.25">
      <c r="A133" s="74"/>
      <c r="B133" s="76"/>
      <c r="C133" s="76"/>
      <c r="D133" s="76"/>
      <c r="E133" s="76"/>
      <c r="F133" s="76"/>
      <c r="G133" s="76"/>
      <c r="H133" s="76"/>
    </row>
    <row r="134" spans="1:8" ht="15.75" customHeight="1" x14ac:dyDescent="0.25">
      <c r="A134" s="74"/>
      <c r="B134" s="76"/>
      <c r="C134" s="76"/>
      <c r="D134" s="76"/>
      <c r="E134" s="76"/>
      <c r="F134" s="76"/>
      <c r="G134" s="76"/>
      <c r="H134" s="76"/>
    </row>
    <row r="135" spans="1:8" ht="15.75" customHeight="1" x14ac:dyDescent="0.25">
      <c r="A135" s="74" t="str">
        <f>A65</f>
        <v>Citrus</v>
      </c>
      <c r="B135" s="76"/>
      <c r="C135" s="76"/>
      <c r="D135" s="76"/>
      <c r="E135" s="76"/>
      <c r="F135" s="76"/>
      <c r="G135" s="76"/>
      <c r="H135" s="76"/>
    </row>
    <row r="136" spans="1:8" ht="15.75" customHeight="1" x14ac:dyDescent="0.25">
      <c r="A136" s="74"/>
      <c r="B136" s="76"/>
      <c r="C136" s="76"/>
      <c r="D136" s="76"/>
      <c r="E136" s="76"/>
      <c r="F136" s="76"/>
      <c r="G136" s="76"/>
      <c r="H136" s="76"/>
    </row>
    <row r="137" spans="1:8" ht="15.75" customHeight="1" x14ac:dyDescent="0.25">
      <c r="A137" s="74"/>
      <c r="B137" s="76"/>
      <c r="C137" s="76"/>
      <c r="D137" s="76"/>
      <c r="E137" s="76"/>
      <c r="F137" s="76"/>
      <c r="G137" s="76"/>
      <c r="H137" s="76"/>
    </row>
    <row r="138" spans="1:8" ht="15.75" customHeight="1" x14ac:dyDescent="0.25">
      <c r="A138" s="74"/>
      <c r="B138" s="76"/>
      <c r="C138" s="76"/>
      <c r="D138" s="76"/>
      <c r="E138" s="76"/>
      <c r="F138" s="76"/>
      <c r="G138" s="76"/>
      <c r="H138" s="76"/>
    </row>
    <row r="139" spans="1:8" ht="15.75" customHeight="1" x14ac:dyDescent="0.25">
      <c r="A139" s="69"/>
      <c r="B139" s="115"/>
      <c r="C139" s="115"/>
      <c r="D139" s="115"/>
      <c r="E139" s="115"/>
      <c r="F139" s="115"/>
      <c r="G139" s="115"/>
      <c r="H139" s="115"/>
    </row>
    <row r="140" spans="1:8" ht="15.75" customHeight="1" x14ac:dyDescent="0.25">
      <c r="A140" s="69" t="s">
        <v>611</v>
      </c>
    </row>
    <row r="141" spans="1:8" ht="15.75" customHeight="1" x14ac:dyDescent="0.25">
      <c r="A141" t="s">
        <v>693</v>
      </c>
      <c r="B141" s="152">
        <f t="shared" ref="B141:H141" si="22">(B124*100)</f>
        <v>0</v>
      </c>
      <c r="C141" s="152">
        <f t="shared" si="22"/>
        <v>0</v>
      </c>
      <c r="D141" s="152">
        <f t="shared" si="22"/>
        <v>0</v>
      </c>
      <c r="E141" s="152">
        <f t="shared" si="22"/>
        <v>0</v>
      </c>
      <c r="F141" s="152">
        <f t="shared" si="22"/>
        <v>0</v>
      </c>
      <c r="G141" s="152">
        <f t="shared" si="22"/>
        <v>0</v>
      </c>
      <c r="H141" s="152">
        <f t="shared" si="22"/>
        <v>0</v>
      </c>
    </row>
    <row r="142" spans="1:8" ht="15.75" customHeight="1" x14ac:dyDescent="0.25">
      <c r="A142" t="s">
        <v>694</v>
      </c>
      <c r="B142" s="152">
        <f t="shared" ref="B142:H142" si="23">(B125*100)</f>
        <v>0</v>
      </c>
      <c r="C142" s="152">
        <f t="shared" si="23"/>
        <v>0</v>
      </c>
      <c r="D142" s="152">
        <f t="shared" si="23"/>
        <v>0</v>
      </c>
      <c r="E142" s="152">
        <f t="shared" si="23"/>
        <v>0</v>
      </c>
      <c r="F142" s="152">
        <f t="shared" si="23"/>
        <v>0</v>
      </c>
      <c r="G142" s="152">
        <f t="shared" si="23"/>
        <v>0</v>
      </c>
      <c r="H142" s="152">
        <f t="shared" si="23"/>
        <v>0</v>
      </c>
    </row>
    <row r="143" spans="1:8" ht="15.75" customHeight="1" x14ac:dyDescent="0.25">
      <c r="A143" t="s">
        <v>695</v>
      </c>
      <c r="B143" s="152">
        <f t="shared" ref="B143:H143" si="24">(B126*100)</f>
        <v>0</v>
      </c>
      <c r="C143" s="152">
        <f t="shared" si="24"/>
        <v>0</v>
      </c>
      <c r="D143" s="152">
        <f t="shared" si="24"/>
        <v>0</v>
      </c>
      <c r="E143" s="152">
        <f t="shared" si="24"/>
        <v>0</v>
      </c>
      <c r="F143" s="152">
        <f t="shared" si="24"/>
        <v>0</v>
      </c>
      <c r="G143" s="152">
        <f t="shared" si="24"/>
        <v>0</v>
      </c>
      <c r="H143" s="152">
        <f t="shared" si="24"/>
        <v>0</v>
      </c>
    </row>
    <row r="144" spans="1:8" ht="15.75" customHeight="1" x14ac:dyDescent="0.25"/>
    <row r="145" spans="1:10" ht="15.75" customHeight="1" x14ac:dyDescent="0.25">
      <c r="B145" s="152"/>
      <c r="C145" s="152"/>
    </row>
    <row r="146" spans="1:10" ht="15.75" customHeight="1" x14ac:dyDescent="0.25">
      <c r="B146" s="152"/>
      <c r="C146" s="152"/>
      <c r="D146" s="152"/>
    </row>
    <row r="147" spans="1:10" ht="15.75" customHeight="1" x14ac:dyDescent="0.3">
      <c r="A147" s="354" t="s">
        <v>696</v>
      </c>
      <c r="B147" s="338"/>
      <c r="C147" s="338"/>
      <c r="D147" s="338"/>
      <c r="E147" s="338"/>
      <c r="F147" s="338"/>
      <c r="G147" s="338"/>
      <c r="H147" s="338"/>
      <c r="I147" s="338"/>
      <c r="J147" s="338"/>
    </row>
    <row r="148" spans="1:10" ht="15.75" customHeight="1" x14ac:dyDescent="0.25">
      <c r="A148" s="26"/>
      <c r="B148" s="26"/>
      <c r="C148" s="26"/>
      <c r="D148" s="26"/>
      <c r="E148" s="26"/>
      <c r="F148" s="26"/>
      <c r="G148" s="26"/>
      <c r="H148" s="26"/>
    </row>
    <row r="149" spans="1:10" ht="15.75" customHeight="1" x14ac:dyDescent="0.25">
      <c r="A149" s="92"/>
      <c r="B149" s="92"/>
      <c r="C149" s="92"/>
      <c r="D149" s="267">
        <v>1</v>
      </c>
      <c r="E149" s="268">
        <f t="shared" ref="E149:J149" si="25">(D149*5%)+D149</f>
        <v>1.05</v>
      </c>
      <c r="F149" s="268">
        <f t="shared" si="25"/>
        <v>1.1025</v>
      </c>
      <c r="G149" s="268">
        <f t="shared" si="25"/>
        <v>1.1576250000000001</v>
      </c>
      <c r="H149" s="268">
        <f t="shared" si="25"/>
        <v>1.2155062500000002</v>
      </c>
      <c r="I149" s="268">
        <f t="shared" si="25"/>
        <v>1.2762815625000004</v>
      </c>
      <c r="J149" s="268">
        <f t="shared" si="25"/>
        <v>1.3400956406250004</v>
      </c>
    </row>
    <row r="150" spans="1:10" ht="15.75" customHeight="1" x14ac:dyDescent="0.25">
      <c r="A150" s="69"/>
      <c r="B150" s="69"/>
      <c r="C150" s="69"/>
      <c r="D150" s="69"/>
      <c r="E150" s="69"/>
      <c r="F150" s="69"/>
      <c r="G150" s="69"/>
      <c r="H150" s="69"/>
      <c r="I150" s="69"/>
      <c r="J150" s="69"/>
    </row>
    <row r="151" spans="1:10" ht="15.75" customHeight="1" x14ac:dyDescent="0.25">
      <c r="A151" s="72" t="s">
        <v>148</v>
      </c>
      <c r="B151" s="72" t="s">
        <v>121</v>
      </c>
      <c r="C151" s="72" t="s">
        <v>131</v>
      </c>
      <c r="D151" s="73" t="s">
        <v>151</v>
      </c>
      <c r="E151" s="73" t="s">
        <v>152</v>
      </c>
      <c r="F151" s="73" t="s">
        <v>153</v>
      </c>
      <c r="G151" s="73" t="s">
        <v>154</v>
      </c>
      <c r="H151" s="73" t="s">
        <v>155</v>
      </c>
      <c r="I151" s="73" t="s">
        <v>156</v>
      </c>
      <c r="J151" s="73" t="s">
        <v>157</v>
      </c>
    </row>
    <row r="152" spans="1:10" ht="15.75" customHeight="1" x14ac:dyDescent="0.25">
      <c r="A152" s="74"/>
      <c r="B152" s="74"/>
      <c r="C152" s="74"/>
      <c r="D152" s="74"/>
      <c r="E152" s="74"/>
      <c r="F152" s="74"/>
      <c r="G152" s="74"/>
      <c r="H152" s="74"/>
      <c r="I152" s="74"/>
      <c r="J152" s="74"/>
    </row>
    <row r="153" spans="1:10" ht="15.75" customHeight="1" x14ac:dyDescent="0.25">
      <c r="A153" s="77" t="s">
        <v>348</v>
      </c>
      <c r="B153" s="77"/>
      <c r="C153" s="77"/>
      <c r="D153" s="127"/>
      <c r="E153" s="127"/>
      <c r="F153" s="127"/>
      <c r="G153" s="127"/>
      <c r="H153" s="127"/>
      <c r="I153" s="74"/>
      <c r="J153" s="74"/>
    </row>
    <row r="154" spans="1:10" ht="15.75" customHeight="1" x14ac:dyDescent="0.25">
      <c r="A154" s="74" t="str">
        <f t="shared" ref="A154:A156" si="26">A124</f>
        <v>Pomegranate Arils</v>
      </c>
      <c r="B154" s="50" t="s">
        <v>697</v>
      </c>
      <c r="C154" s="50">
        <v>150</v>
      </c>
      <c r="D154" s="76">
        <f>(B141*(1-'5.Closing Stock &amp; W Capital'!$D$18)*$C154*D$149)</f>
        <v>0</v>
      </c>
      <c r="E154" s="76">
        <f>(((C141*(1-'5.Closing Stock &amp; W Capital'!$D$18))+(B141*'5.Closing Stock &amp; W Capital'!$D$18))*$C154*E$149)</f>
        <v>0</v>
      </c>
      <c r="F154" s="76">
        <f>(((D141*(1-'5.Closing Stock &amp; W Capital'!$D$18))+(C141*'5.Closing Stock &amp; W Capital'!$D$18))*$C154*F$149)</f>
        <v>0</v>
      </c>
      <c r="G154" s="76">
        <f>(((E141*(1-'5.Closing Stock &amp; W Capital'!$D$18))+(D141*'5.Closing Stock &amp; W Capital'!$D$18))*$C154*G$149)</f>
        <v>0</v>
      </c>
      <c r="H154" s="76">
        <f>(((F141*(1-'5.Closing Stock &amp; W Capital'!$D$18))+(E141*'5.Closing Stock &amp; W Capital'!$D$18))*$C154*H$149)</f>
        <v>0</v>
      </c>
      <c r="I154" s="76">
        <f>(((G141*(1-'5.Closing Stock &amp; W Capital'!$D$18))+(F141*'5.Closing Stock &amp; W Capital'!$D$18))*$C154*I$149)</f>
        <v>0</v>
      </c>
      <c r="J154" s="76">
        <f>(((H141*(1-'5.Closing Stock &amp; W Capital'!$D$18))+(G141*'5.Closing Stock &amp; W Capital'!$D$18))*$C154*J$149)</f>
        <v>0</v>
      </c>
    </row>
    <row r="155" spans="1:10" ht="15.75" customHeight="1" x14ac:dyDescent="0.25">
      <c r="A155" s="74" t="str">
        <f t="shared" si="26"/>
        <v>Pomegranate Juice</v>
      </c>
      <c r="B155" s="50" t="s">
        <v>698</v>
      </c>
      <c r="C155" s="50">
        <v>40</v>
      </c>
      <c r="D155" s="76">
        <f>(B142*(1-'5.Closing Stock &amp; W Capital'!$D$18)*$C155*D$149)</f>
        <v>0</v>
      </c>
      <c r="E155" s="76">
        <f>(((C142*(1-'5.Closing Stock &amp; W Capital'!$D$18))+(B142*'5.Closing Stock &amp; W Capital'!$D$18))*$C155*E$149)</f>
        <v>0</v>
      </c>
      <c r="F155" s="76">
        <f>(((D142*(1-'5.Closing Stock &amp; W Capital'!$D$18))+(C142*'5.Closing Stock &amp; W Capital'!$D$18))*$C155*F$149)</f>
        <v>0</v>
      </c>
      <c r="G155" s="76">
        <f>(((E142*(1-'5.Closing Stock &amp; W Capital'!$D$18))+(D142*'5.Closing Stock &amp; W Capital'!$D$18))*$C155*G$149)</f>
        <v>0</v>
      </c>
      <c r="H155" s="76">
        <f>(((F142*(1-'5.Closing Stock &amp; W Capital'!$D$18))+(E142*'5.Closing Stock &amp; W Capital'!$D$18))*$C155*H$149)</f>
        <v>0</v>
      </c>
      <c r="I155" s="76">
        <f>(((G142*(1-'5.Closing Stock &amp; W Capital'!$D$18))+(F142*'5.Closing Stock &amp; W Capital'!$D$18))*$C155*I$149)</f>
        <v>0</v>
      </c>
      <c r="J155" s="76">
        <f>(((H142*(1-'5.Closing Stock &amp; W Capital'!$D$18))+(G142*'5.Closing Stock &amp; W Capital'!$D$18))*$C155*J$149)</f>
        <v>0</v>
      </c>
    </row>
    <row r="156" spans="1:10" ht="15.75" customHeight="1" x14ac:dyDescent="0.25">
      <c r="A156" s="74" t="str">
        <f t="shared" si="26"/>
        <v>Pomegranate Powder</v>
      </c>
      <c r="B156" s="50" t="s">
        <v>613</v>
      </c>
      <c r="C156" s="50">
        <v>50</v>
      </c>
      <c r="D156" s="76">
        <f>(B143*(1-'5.Closing Stock &amp; W Capital'!$D$18)*$C156*D$149)</f>
        <v>0</v>
      </c>
      <c r="E156" s="76">
        <f>(((C143*(1-'5.Closing Stock &amp; W Capital'!$D$18))+(B143*'5.Closing Stock &amp; W Capital'!$D$18))*$C156*E$149)</f>
        <v>0</v>
      </c>
      <c r="F156" s="76">
        <f>(((D143*(1-'5.Closing Stock &amp; W Capital'!$D$18))+(C143*'5.Closing Stock &amp; W Capital'!$D$18))*$C156*F$149)</f>
        <v>0</v>
      </c>
      <c r="G156" s="76">
        <f>(((E143*(1-'5.Closing Stock &amp; W Capital'!$D$18))+(D143*'5.Closing Stock &amp; W Capital'!$D$18))*$C156*G$149)</f>
        <v>0</v>
      </c>
      <c r="H156" s="76">
        <f>(((F143*(1-'5.Closing Stock &amp; W Capital'!$D$18))+(E143*'5.Closing Stock &amp; W Capital'!$D$18))*$C156*H$149)</f>
        <v>0</v>
      </c>
      <c r="I156" s="76">
        <f>(((G143*(1-'5.Closing Stock &amp; W Capital'!$D$18))+(F143*'5.Closing Stock &amp; W Capital'!$D$18))*$C156*I$149)</f>
        <v>0</v>
      </c>
      <c r="J156" s="76">
        <f>(((H143*(1-'5.Closing Stock &amp; W Capital'!$D$18))+(G143*'5.Closing Stock &amp; W Capital'!$D$18))*$C156*J$149)</f>
        <v>0</v>
      </c>
    </row>
    <row r="157" spans="1:10" ht="15.75" customHeight="1" x14ac:dyDescent="0.25">
      <c r="A157" s="74"/>
      <c r="B157" s="50"/>
      <c r="C157" s="50"/>
      <c r="D157" s="76"/>
      <c r="E157" s="76"/>
      <c r="F157" s="76"/>
      <c r="G157" s="76"/>
      <c r="H157" s="76"/>
      <c r="I157" s="76"/>
      <c r="J157" s="76"/>
    </row>
    <row r="158" spans="1:10" ht="15.75" customHeight="1" x14ac:dyDescent="0.25">
      <c r="A158" s="74"/>
      <c r="B158" s="74"/>
      <c r="C158" s="74"/>
      <c r="D158" s="76"/>
      <c r="E158" s="76"/>
      <c r="F158" s="76"/>
      <c r="G158" s="76"/>
      <c r="H158" s="76"/>
      <c r="I158" s="76"/>
      <c r="J158" s="76"/>
    </row>
    <row r="159" spans="1:10" ht="15.75" customHeight="1" x14ac:dyDescent="0.25">
      <c r="A159" s="77" t="s">
        <v>348</v>
      </c>
      <c r="B159" s="77"/>
      <c r="C159" s="77"/>
      <c r="D159" s="78">
        <f t="shared" ref="D159:J159" si="27">SUM(D154:D157)</f>
        <v>0</v>
      </c>
      <c r="E159" s="78">
        <f t="shared" si="27"/>
        <v>0</v>
      </c>
      <c r="F159" s="78">
        <f t="shared" si="27"/>
        <v>0</v>
      </c>
      <c r="G159" s="78">
        <f t="shared" si="27"/>
        <v>0</v>
      </c>
      <c r="H159" s="78">
        <f t="shared" si="27"/>
        <v>0</v>
      </c>
      <c r="I159" s="78">
        <f t="shared" si="27"/>
        <v>0</v>
      </c>
      <c r="J159" s="78">
        <f t="shared" si="27"/>
        <v>0</v>
      </c>
    </row>
    <row r="160" spans="1:10" ht="15.75" customHeight="1" x14ac:dyDescent="0.25">
      <c r="A160" s="74"/>
      <c r="B160" s="74"/>
      <c r="C160" s="74"/>
      <c r="D160" s="76"/>
      <c r="E160" s="76"/>
      <c r="F160" s="76"/>
      <c r="G160" s="76"/>
      <c r="H160" s="76"/>
      <c r="I160" s="76"/>
      <c r="J160" s="76"/>
    </row>
    <row r="161" spans="1:10" ht="15.75" customHeight="1" x14ac:dyDescent="0.25">
      <c r="A161" s="77" t="s">
        <v>588</v>
      </c>
      <c r="B161" s="77"/>
      <c r="C161" s="77"/>
      <c r="D161" s="76"/>
      <c r="E161" s="76"/>
      <c r="F161" s="76"/>
      <c r="G161" s="76"/>
      <c r="H161" s="76"/>
      <c r="I161" s="76"/>
      <c r="J161" s="76"/>
    </row>
    <row r="162" spans="1:10" ht="15.75" customHeight="1" x14ac:dyDescent="0.25">
      <c r="A162" s="77" t="s">
        <v>355</v>
      </c>
      <c r="B162" s="77"/>
      <c r="C162" s="74"/>
      <c r="D162" s="76"/>
      <c r="E162" s="76"/>
      <c r="F162" s="76"/>
      <c r="G162" s="76"/>
      <c r="H162" s="76"/>
      <c r="I162" s="76"/>
      <c r="J162" s="76"/>
    </row>
    <row r="163" spans="1:10" ht="15.75" customHeight="1" x14ac:dyDescent="0.25">
      <c r="A163" s="74" t="s">
        <v>699</v>
      </c>
      <c r="B163" s="50" t="s">
        <v>586</v>
      </c>
      <c r="C163" s="75">
        <v>6000</v>
      </c>
      <c r="D163" s="76">
        <f t="shared" ref="D163:J163" si="28">B62*$C163*D$149</f>
        <v>0</v>
      </c>
      <c r="E163" s="76">
        <f t="shared" si="28"/>
        <v>0</v>
      </c>
      <c r="F163" s="76">
        <f t="shared" si="28"/>
        <v>0</v>
      </c>
      <c r="G163" s="76">
        <f t="shared" si="28"/>
        <v>0</v>
      </c>
      <c r="H163" s="76">
        <f t="shared" si="28"/>
        <v>0</v>
      </c>
      <c r="I163" s="76">
        <f t="shared" si="28"/>
        <v>0</v>
      </c>
      <c r="J163" s="76">
        <f t="shared" si="28"/>
        <v>0</v>
      </c>
    </row>
    <row r="164" spans="1:10" ht="15.75" customHeight="1" x14ac:dyDescent="0.25">
      <c r="A164" s="74" t="s">
        <v>700</v>
      </c>
      <c r="B164" s="50" t="s">
        <v>586</v>
      </c>
      <c r="C164" s="50">
        <v>2000</v>
      </c>
      <c r="D164" s="76">
        <f t="shared" ref="D164:J164" si="29">(B62*10%)*$C164*D$149</f>
        <v>0</v>
      </c>
      <c r="E164" s="76">
        <f t="shared" si="29"/>
        <v>0</v>
      </c>
      <c r="F164" s="76">
        <f t="shared" si="29"/>
        <v>0</v>
      </c>
      <c r="G164" s="76">
        <f t="shared" si="29"/>
        <v>0</v>
      </c>
      <c r="H164" s="76">
        <f t="shared" si="29"/>
        <v>0</v>
      </c>
      <c r="I164" s="76">
        <f t="shared" si="29"/>
        <v>0</v>
      </c>
      <c r="J164" s="76">
        <f t="shared" si="29"/>
        <v>0</v>
      </c>
    </row>
    <row r="165" spans="1:10" ht="15.75" customHeight="1" x14ac:dyDescent="0.25">
      <c r="A165" s="74" t="s">
        <v>615</v>
      </c>
      <c r="B165" s="50">
        <v>5</v>
      </c>
      <c r="C165" s="50">
        <v>300</v>
      </c>
      <c r="D165" s="76">
        <f t="shared" ref="D165:J165" si="30">B12*$B$165*$C$165*D149</f>
        <v>0</v>
      </c>
      <c r="E165" s="76">
        <f t="shared" si="30"/>
        <v>0</v>
      </c>
      <c r="F165" s="76">
        <f t="shared" si="30"/>
        <v>0</v>
      </c>
      <c r="G165" s="76">
        <f t="shared" si="30"/>
        <v>0</v>
      </c>
      <c r="H165" s="76">
        <f t="shared" si="30"/>
        <v>0</v>
      </c>
      <c r="I165" s="76">
        <f t="shared" si="30"/>
        <v>0</v>
      </c>
      <c r="J165" s="76">
        <f t="shared" si="30"/>
        <v>0</v>
      </c>
    </row>
    <row r="166" spans="1:10" ht="15.75" customHeight="1" x14ac:dyDescent="0.25">
      <c r="A166" s="74" t="s">
        <v>590</v>
      </c>
      <c r="B166" s="74">
        <f>'2.Capex Details'!H71*0.746*8</f>
        <v>0</v>
      </c>
      <c r="C166" s="50">
        <v>8</v>
      </c>
      <c r="D166" s="76">
        <f t="shared" ref="D166:J166" si="31">$B$166*$C$166*B12*D149</f>
        <v>0</v>
      </c>
      <c r="E166" s="76">
        <f t="shared" si="31"/>
        <v>0</v>
      </c>
      <c r="F166" s="76">
        <f t="shared" si="31"/>
        <v>0</v>
      </c>
      <c r="G166" s="76">
        <f t="shared" si="31"/>
        <v>0</v>
      </c>
      <c r="H166" s="76">
        <f t="shared" si="31"/>
        <v>0</v>
      </c>
      <c r="I166" s="76">
        <f t="shared" si="31"/>
        <v>0</v>
      </c>
      <c r="J166" s="76">
        <f t="shared" si="31"/>
        <v>0</v>
      </c>
    </row>
    <row r="167" spans="1:10" ht="15.75" customHeight="1" x14ac:dyDescent="0.25">
      <c r="A167" s="74" t="s">
        <v>616</v>
      </c>
      <c r="B167" s="74" t="s">
        <v>586</v>
      </c>
      <c r="C167" s="50">
        <v>10</v>
      </c>
      <c r="D167" s="76">
        <f t="shared" ref="D167:J167" si="32">B62*$C167*D$149</f>
        <v>0</v>
      </c>
      <c r="E167" s="76">
        <f t="shared" si="32"/>
        <v>0</v>
      </c>
      <c r="F167" s="76">
        <f t="shared" si="32"/>
        <v>0</v>
      </c>
      <c r="G167" s="76">
        <f t="shared" si="32"/>
        <v>0</v>
      </c>
      <c r="H167" s="76">
        <f t="shared" si="32"/>
        <v>0</v>
      </c>
      <c r="I167" s="76">
        <f t="shared" si="32"/>
        <v>0</v>
      </c>
      <c r="J167" s="76">
        <f t="shared" si="32"/>
        <v>0</v>
      </c>
    </row>
    <row r="168" spans="1:10" ht="15.75" customHeight="1" x14ac:dyDescent="0.25">
      <c r="A168" s="191" t="s">
        <v>617</v>
      </c>
      <c r="B168" s="191"/>
      <c r="C168" s="275">
        <v>2</v>
      </c>
      <c r="D168" s="76">
        <f t="shared" ref="D168:J168" si="33">SUM(B141:B143)*$C$168*D$149</f>
        <v>0</v>
      </c>
      <c r="E168" s="76">
        <f t="shared" si="33"/>
        <v>0</v>
      </c>
      <c r="F168" s="76">
        <f t="shared" si="33"/>
        <v>0</v>
      </c>
      <c r="G168" s="76">
        <f t="shared" si="33"/>
        <v>0</v>
      </c>
      <c r="H168" s="76">
        <f t="shared" si="33"/>
        <v>0</v>
      </c>
      <c r="I168" s="76">
        <f t="shared" si="33"/>
        <v>0</v>
      </c>
      <c r="J168" s="76">
        <f t="shared" si="33"/>
        <v>0</v>
      </c>
    </row>
    <row r="169" spans="1:10" ht="15.75" customHeight="1" x14ac:dyDescent="0.25">
      <c r="A169" s="74" t="s">
        <v>618</v>
      </c>
      <c r="B169" s="74"/>
      <c r="C169" s="50">
        <v>1</v>
      </c>
      <c r="D169" s="76">
        <f t="shared" ref="D169:J169" si="34">SUM(B141:B143)*$C$169*D$149</f>
        <v>0</v>
      </c>
      <c r="E169" s="76">
        <f t="shared" si="34"/>
        <v>0</v>
      </c>
      <c r="F169" s="76">
        <f t="shared" si="34"/>
        <v>0</v>
      </c>
      <c r="G169" s="76">
        <f t="shared" si="34"/>
        <v>0</v>
      </c>
      <c r="H169" s="76">
        <f t="shared" si="34"/>
        <v>0</v>
      </c>
      <c r="I169" s="76">
        <f t="shared" si="34"/>
        <v>0</v>
      </c>
      <c r="J169" s="76">
        <f t="shared" si="34"/>
        <v>0</v>
      </c>
    </row>
    <row r="170" spans="1:10" ht="15.75" customHeight="1" x14ac:dyDescent="0.25">
      <c r="A170" s="134"/>
      <c r="B170" s="134"/>
      <c r="C170" s="134"/>
      <c r="D170" s="134"/>
      <c r="E170" s="134"/>
      <c r="F170" s="134"/>
      <c r="G170" s="134"/>
      <c r="H170" s="134"/>
      <c r="I170" s="134"/>
      <c r="J170" s="134"/>
    </row>
    <row r="171" spans="1:10" ht="15.75" customHeight="1" x14ac:dyDescent="0.25">
      <c r="A171" s="134"/>
      <c r="B171" s="134"/>
      <c r="C171" s="134"/>
      <c r="D171" s="134"/>
      <c r="E171" s="134"/>
      <c r="F171" s="134"/>
      <c r="G171" s="134"/>
      <c r="H171" s="134"/>
      <c r="I171" s="134"/>
      <c r="J171" s="134"/>
    </row>
    <row r="172" spans="1:10" ht="15.75" customHeight="1" x14ac:dyDescent="0.25">
      <c r="A172" s="134"/>
      <c r="B172" s="134"/>
      <c r="C172" s="134"/>
      <c r="D172" s="134"/>
      <c r="E172" s="134"/>
      <c r="F172" s="134"/>
      <c r="G172" s="134"/>
      <c r="H172" s="134"/>
      <c r="I172" s="134"/>
      <c r="J172" s="134"/>
    </row>
    <row r="173" spans="1:10" ht="15.75" customHeight="1" x14ac:dyDescent="0.25">
      <c r="A173" s="134"/>
      <c r="B173" s="134"/>
      <c r="C173" s="134"/>
      <c r="D173" s="134"/>
      <c r="E173" s="134"/>
      <c r="F173" s="134"/>
      <c r="G173" s="134"/>
      <c r="H173" s="134"/>
      <c r="I173" s="134"/>
      <c r="J173" s="134"/>
    </row>
    <row r="174" spans="1:10" ht="15.75" customHeight="1" x14ac:dyDescent="0.25">
      <c r="A174" s="76" t="s">
        <v>593</v>
      </c>
      <c r="B174" s="76"/>
      <c r="C174" s="76"/>
      <c r="D174" s="76"/>
      <c r="E174" s="76">
        <f>'5.Closing Stock &amp; W Capital'!F8*0</f>
        <v>0</v>
      </c>
      <c r="F174" s="76">
        <f>'5.Closing Stock &amp; W Capital'!G8*0</f>
        <v>0</v>
      </c>
      <c r="G174" s="76">
        <f>'5.Closing Stock &amp; W Capital'!H8*0</f>
        <v>0</v>
      </c>
      <c r="H174" s="76">
        <f>'5.Closing Stock &amp; W Capital'!I8*0</f>
        <v>0</v>
      </c>
      <c r="I174" s="76">
        <f>'5.Closing Stock &amp; W Capital'!J8*0</f>
        <v>0</v>
      </c>
      <c r="J174" s="76">
        <f>'5.Closing Stock &amp; W Capital'!K8*0</f>
        <v>0</v>
      </c>
    </row>
    <row r="175" spans="1:10" ht="15.75" customHeight="1" x14ac:dyDescent="0.25">
      <c r="A175" s="76" t="s">
        <v>594</v>
      </c>
      <c r="B175" s="76"/>
      <c r="C175" s="76"/>
      <c r="D175" s="76">
        <f>'5.Closing Stock &amp; W Capital'!E17*0</f>
        <v>0</v>
      </c>
      <c r="E175" s="76">
        <f>'5.Closing Stock &amp; W Capital'!F17*0</f>
        <v>0</v>
      </c>
      <c r="F175" s="76">
        <f>'5.Closing Stock &amp; W Capital'!G17*0</f>
        <v>0</v>
      </c>
      <c r="G175" s="76">
        <f>'5.Closing Stock &amp; W Capital'!H17*0</f>
        <v>0</v>
      </c>
      <c r="H175" s="76">
        <f>'5.Closing Stock &amp; W Capital'!I17*0</f>
        <v>0</v>
      </c>
      <c r="I175" s="76">
        <f>'5.Closing Stock &amp; W Capital'!J17*0</f>
        <v>0</v>
      </c>
      <c r="J175" s="76">
        <f>'5.Closing Stock &amp; W Capital'!K17*0</f>
        <v>0</v>
      </c>
    </row>
    <row r="176" spans="1:10" ht="15.75" customHeight="1" x14ac:dyDescent="0.25">
      <c r="A176" s="76"/>
      <c r="B176" s="76"/>
      <c r="C176" s="76"/>
      <c r="D176" s="76"/>
      <c r="E176" s="76"/>
      <c r="F176" s="76"/>
      <c r="G176" s="76"/>
      <c r="H176" s="76"/>
      <c r="I176" s="76"/>
      <c r="J176" s="76"/>
    </row>
    <row r="177" spans="1:10" ht="15.75" customHeight="1" x14ac:dyDescent="0.25">
      <c r="A177" s="78" t="s">
        <v>356</v>
      </c>
      <c r="B177" s="76"/>
      <c r="C177" s="76"/>
      <c r="D177" s="78">
        <f t="shared" ref="D177:J177" si="35">SUM(D163:D174)-D175</f>
        <v>0</v>
      </c>
      <c r="E177" s="78">
        <f t="shared" si="35"/>
        <v>0</v>
      </c>
      <c r="F177" s="78">
        <f t="shared" si="35"/>
        <v>0</v>
      </c>
      <c r="G177" s="78">
        <f t="shared" si="35"/>
        <v>0</v>
      </c>
      <c r="H177" s="78">
        <f t="shared" si="35"/>
        <v>0</v>
      </c>
      <c r="I177" s="78">
        <f t="shared" si="35"/>
        <v>0</v>
      </c>
      <c r="J177" s="78">
        <f t="shared" si="35"/>
        <v>0</v>
      </c>
    </row>
    <row r="178" spans="1:10" ht="15.75" customHeight="1" x14ac:dyDescent="0.25">
      <c r="A178" s="69"/>
      <c r="B178" s="69"/>
      <c r="C178" s="69"/>
      <c r="D178" s="69"/>
      <c r="E178" s="69"/>
      <c r="F178" s="69"/>
      <c r="G178" s="69"/>
      <c r="H178" s="69"/>
      <c r="I178" s="69"/>
      <c r="J178" s="69"/>
    </row>
    <row r="179" spans="1:10" ht="15.75" customHeight="1" x14ac:dyDescent="0.25">
      <c r="A179" s="187" t="s">
        <v>357</v>
      </c>
      <c r="B179" s="187"/>
      <c r="C179" s="187"/>
      <c r="D179" s="78"/>
      <c r="E179" s="78"/>
      <c r="F179" s="78"/>
      <c r="G179" s="78"/>
      <c r="H179" s="78"/>
      <c r="I179" s="78"/>
      <c r="J179" s="78"/>
    </row>
    <row r="180" spans="1:10" ht="15.75" customHeight="1" x14ac:dyDescent="0.25">
      <c r="A180" s="74" t="s">
        <v>595</v>
      </c>
      <c r="B180" s="50">
        <v>1</v>
      </c>
      <c r="C180" s="75"/>
      <c r="D180" s="76">
        <f t="shared" ref="D180:J180" si="36">$B$180*$C$180*12*D149</f>
        <v>0</v>
      </c>
      <c r="E180" s="76">
        <f t="shared" si="36"/>
        <v>0</v>
      </c>
      <c r="F180" s="76">
        <f t="shared" si="36"/>
        <v>0</v>
      </c>
      <c r="G180" s="76">
        <f t="shared" si="36"/>
        <v>0</v>
      </c>
      <c r="H180" s="76">
        <f t="shared" si="36"/>
        <v>0</v>
      </c>
      <c r="I180" s="76">
        <f t="shared" si="36"/>
        <v>0</v>
      </c>
      <c r="J180" s="76">
        <f t="shared" si="36"/>
        <v>0</v>
      </c>
    </row>
    <row r="181" spans="1:10" ht="15.75" customHeight="1" x14ac:dyDescent="0.25">
      <c r="A181" s="74" t="s">
        <v>684</v>
      </c>
      <c r="B181" s="50">
        <v>2</v>
      </c>
      <c r="C181" s="75"/>
      <c r="D181" s="76">
        <f t="shared" ref="D181:J181" si="37">$B$181*$C$181*12*D149</f>
        <v>0</v>
      </c>
      <c r="E181" s="76">
        <f t="shared" si="37"/>
        <v>0</v>
      </c>
      <c r="F181" s="76">
        <f t="shared" si="37"/>
        <v>0</v>
      </c>
      <c r="G181" s="76">
        <f t="shared" si="37"/>
        <v>0</v>
      </c>
      <c r="H181" s="76">
        <f t="shared" si="37"/>
        <v>0</v>
      </c>
      <c r="I181" s="76">
        <f t="shared" si="37"/>
        <v>0</v>
      </c>
      <c r="J181" s="76">
        <f t="shared" si="37"/>
        <v>0</v>
      </c>
    </row>
    <row r="182" spans="1:10" ht="15.75" customHeight="1" x14ac:dyDescent="0.25">
      <c r="A182" s="74"/>
      <c r="B182" s="50"/>
      <c r="C182" s="75"/>
      <c r="D182" s="76"/>
      <c r="E182" s="76"/>
      <c r="F182" s="76"/>
      <c r="G182" s="76"/>
      <c r="H182" s="76"/>
      <c r="I182" s="76"/>
      <c r="J182" s="76"/>
    </row>
    <row r="183" spans="1:10" ht="15.75" customHeight="1" x14ac:dyDescent="0.25">
      <c r="A183" s="74"/>
      <c r="B183" s="50"/>
      <c r="C183" s="75"/>
      <c r="D183" s="76"/>
      <c r="E183" s="76"/>
      <c r="F183" s="76"/>
      <c r="G183" s="76"/>
      <c r="H183" s="76"/>
      <c r="I183" s="76"/>
      <c r="J183" s="76"/>
    </row>
    <row r="184" spans="1:10" ht="15.75" customHeight="1" x14ac:dyDescent="0.25">
      <c r="A184" s="74"/>
      <c r="B184" s="50"/>
      <c r="C184" s="75"/>
      <c r="D184" s="76"/>
      <c r="E184" s="76"/>
      <c r="F184" s="76"/>
      <c r="G184" s="76"/>
      <c r="H184" s="76"/>
      <c r="I184" s="76"/>
      <c r="J184" s="76"/>
    </row>
    <row r="185" spans="1:10" ht="15.75" customHeight="1" x14ac:dyDescent="0.25">
      <c r="A185" s="77" t="s">
        <v>357</v>
      </c>
      <c r="B185" s="77"/>
      <c r="C185" s="77"/>
      <c r="D185" s="78">
        <f t="shared" ref="D185:J185" si="38">SUM(D180:D184)</f>
        <v>0</v>
      </c>
      <c r="E185" s="78">
        <f t="shared" si="38"/>
        <v>0</v>
      </c>
      <c r="F185" s="78">
        <f t="shared" si="38"/>
        <v>0</v>
      </c>
      <c r="G185" s="78">
        <f t="shared" si="38"/>
        <v>0</v>
      </c>
      <c r="H185" s="78">
        <f t="shared" si="38"/>
        <v>0</v>
      </c>
      <c r="I185" s="78">
        <f t="shared" si="38"/>
        <v>0</v>
      </c>
      <c r="J185" s="78">
        <f t="shared" si="38"/>
        <v>0</v>
      </c>
    </row>
    <row r="186" spans="1:10" ht="15.75" customHeight="1" x14ac:dyDescent="0.25">
      <c r="A186" s="187" t="s">
        <v>619</v>
      </c>
      <c r="B186" s="187"/>
      <c r="C186" s="187"/>
      <c r="D186" s="78">
        <f t="shared" ref="D186:J186" si="39">D177+D185</f>
        <v>0</v>
      </c>
      <c r="E186" s="78">
        <f t="shared" si="39"/>
        <v>0</v>
      </c>
      <c r="F186" s="78">
        <f t="shared" si="39"/>
        <v>0</v>
      </c>
      <c r="G186" s="78">
        <f t="shared" si="39"/>
        <v>0</v>
      </c>
      <c r="H186" s="78">
        <f t="shared" si="39"/>
        <v>0</v>
      </c>
      <c r="I186" s="78">
        <f t="shared" si="39"/>
        <v>0</v>
      </c>
      <c r="J186" s="78">
        <f t="shared" si="39"/>
        <v>0</v>
      </c>
    </row>
    <row r="187" spans="1:10" ht="15.75" customHeight="1" x14ac:dyDescent="0.25">
      <c r="A187" s="74"/>
      <c r="B187" s="74"/>
      <c r="C187" s="74"/>
      <c r="D187" s="76"/>
      <c r="E187" s="76"/>
      <c r="F187" s="76"/>
      <c r="G187" s="76"/>
      <c r="H187" s="76"/>
      <c r="I187" s="76"/>
      <c r="J187" s="76"/>
    </row>
    <row r="188" spans="1:10" ht="15.75" customHeight="1" x14ac:dyDescent="0.25">
      <c r="A188" s="77" t="s">
        <v>404</v>
      </c>
      <c r="B188" s="77"/>
      <c r="C188" s="77"/>
      <c r="D188" s="78">
        <f t="shared" ref="D188:J188" si="40">D159-D186</f>
        <v>0</v>
      </c>
      <c r="E188" s="78">
        <f t="shared" si="40"/>
        <v>0</v>
      </c>
      <c r="F188" s="78">
        <f t="shared" si="40"/>
        <v>0</v>
      </c>
      <c r="G188" s="78">
        <f t="shared" si="40"/>
        <v>0</v>
      </c>
      <c r="H188" s="78">
        <f t="shared" si="40"/>
        <v>0</v>
      </c>
      <c r="I188" s="78">
        <f t="shared" si="40"/>
        <v>0</v>
      </c>
      <c r="J188" s="78">
        <f t="shared" si="40"/>
        <v>0</v>
      </c>
    </row>
    <row r="189" spans="1:10" ht="15.75" customHeight="1" x14ac:dyDescent="0.25">
      <c r="A189" s="93"/>
      <c r="B189" s="93"/>
      <c r="C189" s="93"/>
      <c r="D189" s="69"/>
      <c r="E189" s="69"/>
      <c r="F189" s="69"/>
      <c r="G189" s="69"/>
      <c r="H189" s="69"/>
      <c r="I189" s="69"/>
      <c r="J189" s="69"/>
    </row>
    <row r="190" spans="1:10" ht="15.75" customHeight="1" x14ac:dyDescent="0.25">
      <c r="A190" s="69"/>
      <c r="B190" s="69"/>
      <c r="C190" s="69"/>
      <c r="D190" s="69"/>
      <c r="E190" s="69"/>
      <c r="F190" s="69"/>
      <c r="G190" s="69"/>
      <c r="H190" s="69"/>
      <c r="I190" s="69"/>
      <c r="J190" s="69"/>
    </row>
    <row r="191" spans="1:10" ht="15.75" customHeight="1" x14ac:dyDescent="0.25">
      <c r="A191" s="69"/>
      <c r="B191" s="69"/>
      <c r="C191" s="69"/>
      <c r="D191" s="69"/>
      <c r="E191" s="69"/>
      <c r="F191" s="69"/>
      <c r="G191" s="69"/>
      <c r="H191" s="69"/>
      <c r="I191" s="69"/>
      <c r="J191" s="69"/>
    </row>
    <row r="192" spans="1:10" ht="15.75" customHeight="1" x14ac:dyDescent="0.25">
      <c r="A192" s="356" t="s">
        <v>620</v>
      </c>
      <c r="B192" s="338"/>
      <c r="C192" s="338"/>
      <c r="D192" s="338"/>
      <c r="E192" s="338"/>
      <c r="F192" s="338"/>
      <c r="G192" s="338"/>
      <c r="H192" s="338"/>
      <c r="I192" s="338"/>
      <c r="J192" s="338"/>
    </row>
    <row r="193" spans="1:5" ht="15.75" customHeight="1" x14ac:dyDescent="0.25"/>
    <row r="194" spans="1:5" ht="15.75" customHeight="1" x14ac:dyDescent="0.25">
      <c r="A194" t="s">
        <v>312</v>
      </c>
    </row>
    <row r="195" spans="1:5" ht="15.75" customHeight="1" x14ac:dyDescent="0.25">
      <c r="A195">
        <v>1</v>
      </c>
      <c r="B195" t="s">
        <v>600</v>
      </c>
    </row>
    <row r="196" spans="1:5" ht="15.75" customHeight="1" x14ac:dyDescent="0.25">
      <c r="A196">
        <v>2</v>
      </c>
      <c r="B196" t="s">
        <v>601</v>
      </c>
      <c r="C196" s="154"/>
      <c r="D196" s="154"/>
      <c r="E196" s="154"/>
    </row>
    <row r="197" spans="1:5" ht="15.75" customHeight="1" x14ac:dyDescent="0.25">
      <c r="A197">
        <v>3</v>
      </c>
      <c r="B197" s="69" t="s">
        <v>602</v>
      </c>
    </row>
  </sheetData>
  <mergeCells count="4">
    <mergeCell ref="A3:H3"/>
    <mergeCell ref="A147:J147"/>
    <mergeCell ref="A192:J192"/>
    <mergeCell ref="A4:H4"/>
  </mergeCells>
  <printOptions horizontalCentered="1"/>
  <pageMargins left="0.23622047244094491" right="0.23622047244094491" top="0.74803149606299213" bottom="0.74803149606299213" header="0.31496062992125984" footer="0.31496062992125984"/>
  <pageSetup paperSize="9" scale="71" orientation="landscape" r:id="rId1"/>
  <rowBreaks count="6" manualBreakCount="6">
    <brk id="41" max="16383" man="1"/>
    <brk id="65" max="16383" man="1"/>
    <brk id="93" max="16383" man="1"/>
    <brk id="143" max="9" man="1"/>
    <brk id="93" man="1"/>
    <brk id="178" max="16383" man="1"/>
  </rowBreaks>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00"/>
  <sheetViews>
    <sheetView view="pageBreakPreview" zoomScale="60" zoomScaleNormal="100" workbookViewId="0">
      <selection activeCell="D12" sqref="D12"/>
    </sheetView>
  </sheetViews>
  <sheetFormatPr defaultColWidth="14.42578125" defaultRowHeight="15" customHeight="1" x14ac:dyDescent="0.25"/>
  <cols>
    <col min="1" max="1" width="8.7109375" customWidth="1"/>
    <col min="2" max="2" width="6.5703125" bestFit="1" customWidth="1"/>
    <col min="3" max="3" width="40.5703125" bestFit="1" customWidth="1"/>
    <col min="4" max="4" width="13.85546875" bestFit="1" customWidth="1"/>
    <col min="5" max="5" width="22.140625" bestFit="1" customWidth="1"/>
    <col min="6" max="6" width="70.28515625" bestFit="1" customWidth="1"/>
    <col min="7" max="7" width="9.140625" bestFit="1" customWidth="1"/>
    <col min="8" max="13" width="8.7109375" customWidth="1"/>
  </cols>
  <sheetData>
    <row r="2" spans="2:13" ht="18.75" x14ac:dyDescent="0.3">
      <c r="B2" s="354" t="s">
        <v>80</v>
      </c>
      <c r="C2" s="338"/>
      <c r="D2" s="338"/>
      <c r="E2" s="338"/>
      <c r="F2" s="338"/>
    </row>
    <row r="4" spans="2:13" x14ac:dyDescent="0.25">
      <c r="B4" s="11" t="s">
        <v>81</v>
      </c>
      <c r="C4" s="11" t="s">
        <v>82</v>
      </c>
      <c r="D4" s="11" t="s">
        <v>83</v>
      </c>
      <c r="E4" s="12" t="s">
        <v>84</v>
      </c>
      <c r="F4" s="12" t="s">
        <v>85</v>
      </c>
    </row>
    <row r="5" spans="2:13" x14ac:dyDescent="0.25">
      <c r="B5" s="13">
        <v>1</v>
      </c>
      <c r="C5" s="14" t="str">
        <f>'2.Capex Details'!B2</f>
        <v>Land and Building</v>
      </c>
      <c r="D5" s="15">
        <f>+'2.Capex Details'!G12</f>
        <v>8688690</v>
      </c>
      <c r="E5" s="16">
        <v>0.6</v>
      </c>
      <c r="F5" s="17">
        <f t="shared" ref="F5:F10" si="0">D5*E5</f>
        <v>5213214</v>
      </c>
    </row>
    <row r="6" spans="2:13" x14ac:dyDescent="0.25">
      <c r="B6" s="13">
        <v>2</v>
      </c>
      <c r="C6" s="14" t="str">
        <f>'2.Capex Details'!B17</f>
        <v>Machinery and Equipment</v>
      </c>
      <c r="D6" s="15">
        <f>+'2.Capex Details'!G73</f>
        <v>13887229.08</v>
      </c>
      <c r="E6" s="16">
        <v>0.6</v>
      </c>
      <c r="F6" s="17">
        <f t="shared" si="0"/>
        <v>8332337.4479999999</v>
      </c>
    </row>
    <row r="7" spans="2:13" x14ac:dyDescent="0.25">
      <c r="B7" s="13">
        <v>3</v>
      </c>
      <c r="C7" s="14" t="str">
        <f>'2.Capex Details'!B79</f>
        <v>Furniture and Fixture</v>
      </c>
      <c r="D7" s="15">
        <f>+'2.Capex Details'!F88</f>
        <v>200000</v>
      </c>
      <c r="E7" s="16">
        <v>0.6</v>
      </c>
      <c r="F7" s="17">
        <f t="shared" si="0"/>
        <v>120000</v>
      </c>
    </row>
    <row r="8" spans="2:13" x14ac:dyDescent="0.25">
      <c r="B8" s="13">
        <v>4</v>
      </c>
      <c r="C8" s="14" t="str">
        <f>'2.Capex Details'!B93</f>
        <v>IT &amp; It Infrastracture</v>
      </c>
      <c r="D8" s="15">
        <f>+'2.Capex Details'!F102</f>
        <v>121240</v>
      </c>
      <c r="E8" s="16">
        <v>0.6</v>
      </c>
      <c r="F8" s="17">
        <f t="shared" si="0"/>
        <v>72744</v>
      </c>
      <c r="I8">
        <v>3147060</v>
      </c>
    </row>
    <row r="9" spans="2:13" x14ac:dyDescent="0.25">
      <c r="B9" s="13">
        <v>5</v>
      </c>
      <c r="C9" s="14" t="str">
        <f>'2.Capex Details'!B107</f>
        <v>Transport vehical  (Refer van and other)</v>
      </c>
      <c r="D9" s="15">
        <f>+'2.Capex Details'!F116</f>
        <v>0</v>
      </c>
      <c r="E9" s="16">
        <v>0.6</v>
      </c>
      <c r="F9" s="17">
        <f t="shared" si="0"/>
        <v>0</v>
      </c>
      <c r="I9">
        <v>342200</v>
      </c>
    </row>
    <row r="10" spans="2:13" x14ac:dyDescent="0.25">
      <c r="B10" s="13">
        <v>6</v>
      </c>
      <c r="C10" s="14" t="str">
        <f>'2.Capex Details'!B120</f>
        <v>Preliminary Expenses</v>
      </c>
      <c r="D10" s="15">
        <f>+'2.Capex Details'!D128</f>
        <v>450000</v>
      </c>
      <c r="E10" s="16">
        <v>0.6</v>
      </c>
      <c r="F10" s="17">
        <f t="shared" si="0"/>
        <v>270000</v>
      </c>
      <c r="I10">
        <v>1020000</v>
      </c>
      <c r="L10" t="s">
        <v>86</v>
      </c>
    </row>
    <row r="11" spans="2:13" x14ac:dyDescent="0.25">
      <c r="B11" s="13">
        <v>7</v>
      </c>
      <c r="C11" s="14" t="s">
        <v>87</v>
      </c>
      <c r="D11" s="15">
        <f>'5.Closing Stock &amp; W Capital'!E56</f>
        <v>473288.10866438365</v>
      </c>
      <c r="E11" s="18"/>
      <c r="F11" s="18"/>
      <c r="I11">
        <v>85000</v>
      </c>
    </row>
    <row r="12" spans="2:13" x14ac:dyDescent="0.25">
      <c r="B12" s="355" t="s">
        <v>88</v>
      </c>
      <c r="C12" s="343"/>
      <c r="D12" s="19">
        <f>SUM(D5:D11)</f>
        <v>23820447.18866438</v>
      </c>
      <c r="E12" s="18"/>
      <c r="F12" s="19">
        <f>SUM(F5:F11)</f>
        <v>14008295.447999999</v>
      </c>
      <c r="I12">
        <v>220000</v>
      </c>
    </row>
    <row r="13" spans="2:13" x14ac:dyDescent="0.25">
      <c r="D13" s="20"/>
      <c r="I13">
        <v>230000</v>
      </c>
      <c r="M13">
        <v>48</v>
      </c>
    </row>
    <row r="14" spans="2:13" ht="25.5" customHeight="1" x14ac:dyDescent="0.25">
      <c r="B14" s="290" t="s">
        <v>705</v>
      </c>
      <c r="C14" s="287"/>
      <c r="D14" s="287"/>
      <c r="E14" s="287"/>
      <c r="F14" s="287"/>
      <c r="I14">
        <v>200000</v>
      </c>
      <c r="M14">
        <v>11.64</v>
      </c>
    </row>
    <row r="15" spans="2:13" x14ac:dyDescent="0.25">
      <c r="B15" s="290" t="s">
        <v>706</v>
      </c>
      <c r="I15">
        <v>805000</v>
      </c>
      <c r="M15">
        <f>M13+M14</f>
        <v>59.64</v>
      </c>
    </row>
    <row r="16" spans="2:13" ht="18.75" x14ac:dyDescent="0.3">
      <c r="B16" s="354" t="s">
        <v>89</v>
      </c>
      <c r="C16" s="338"/>
      <c r="D16" s="338"/>
      <c r="E16" s="338"/>
      <c r="F16" s="338"/>
      <c r="I16">
        <v>1027000</v>
      </c>
      <c r="M16">
        <v>19.05</v>
      </c>
    </row>
    <row r="17" spans="2:13" x14ac:dyDescent="0.25">
      <c r="M17">
        <f>M15+M16</f>
        <v>78.69</v>
      </c>
    </row>
    <row r="18" spans="2:13" x14ac:dyDescent="0.25">
      <c r="B18" s="21" t="s">
        <v>81</v>
      </c>
      <c r="C18" s="11" t="s">
        <v>82</v>
      </c>
      <c r="D18" s="11" t="s">
        <v>90</v>
      </c>
      <c r="E18" s="11" t="s">
        <v>83</v>
      </c>
      <c r="I18">
        <v>305000</v>
      </c>
    </row>
    <row r="19" spans="2:13" x14ac:dyDescent="0.25">
      <c r="B19" s="13">
        <v>1</v>
      </c>
      <c r="C19" s="14" t="s">
        <v>91</v>
      </c>
      <c r="D19" s="22"/>
      <c r="E19" s="23">
        <f>F12</f>
        <v>14008295.447999999</v>
      </c>
      <c r="H19" s="331">
        <f>+E19/$E$22*100</f>
        <v>58.807860898036509</v>
      </c>
      <c r="I19">
        <v>2504932.66</v>
      </c>
    </row>
    <row r="20" spans="2:13" x14ac:dyDescent="0.25">
      <c r="B20" s="13">
        <v>2</v>
      </c>
      <c r="C20" s="14" t="s">
        <v>92</v>
      </c>
      <c r="D20" s="24">
        <v>0.35</v>
      </c>
      <c r="E20" s="23">
        <f>SUM(D5:D9)*D20</f>
        <v>8014005.6779999984</v>
      </c>
      <c r="H20" s="331">
        <f>+E20/$E$22*100</f>
        <v>33.643388868928056</v>
      </c>
      <c r="I20">
        <v>361779</v>
      </c>
    </row>
    <row r="21" spans="2:13" ht="15.75" customHeight="1" x14ac:dyDescent="0.25">
      <c r="B21" s="13">
        <v>3</v>
      </c>
      <c r="C21" s="14" t="s">
        <v>93</v>
      </c>
      <c r="D21" s="23"/>
      <c r="E21" s="23">
        <f>D12-E19-E20</f>
        <v>1798146.0626643831</v>
      </c>
      <c r="H21" s="331">
        <f>+E21/$E$22*100</f>
        <v>7.5487502330354266</v>
      </c>
      <c r="I21">
        <v>835341</v>
      </c>
    </row>
    <row r="22" spans="2:13" ht="15.75" customHeight="1" x14ac:dyDescent="0.25">
      <c r="B22" s="355" t="s">
        <v>88</v>
      </c>
      <c r="C22" s="343"/>
      <c r="D22" s="25"/>
      <c r="E22" s="25">
        <f>SUM(E19:E21)</f>
        <v>23820447.18866438</v>
      </c>
      <c r="I22">
        <v>1267178</v>
      </c>
    </row>
    <row r="23" spans="2:13" ht="15.75" customHeight="1" x14ac:dyDescent="0.25">
      <c r="I23">
        <v>1174899</v>
      </c>
    </row>
    <row r="24" spans="2:13" ht="15.75" customHeight="1" x14ac:dyDescent="0.25">
      <c r="B24" s="356" t="s">
        <v>94</v>
      </c>
      <c r="C24" s="338"/>
      <c r="D24" s="338"/>
      <c r="E24" s="338"/>
      <c r="F24" s="338"/>
      <c r="I24">
        <v>347434</v>
      </c>
    </row>
    <row r="25" spans="2:13" ht="15.75" customHeight="1" x14ac:dyDescent="0.25">
      <c r="I25">
        <v>551242</v>
      </c>
    </row>
    <row r="26" spans="2:13" ht="15.75" customHeight="1" x14ac:dyDescent="0.3">
      <c r="B26" s="354" t="s">
        <v>95</v>
      </c>
      <c r="C26" s="338"/>
      <c r="D26" s="338"/>
      <c r="E26" s="338"/>
      <c r="F26" s="338"/>
      <c r="I26">
        <v>288288</v>
      </c>
    </row>
    <row r="27" spans="2:13" ht="15.75" customHeight="1" x14ac:dyDescent="0.25">
      <c r="B27" s="27" t="s">
        <v>81</v>
      </c>
      <c r="C27" s="28" t="s">
        <v>96</v>
      </c>
      <c r="D27" s="29" t="s">
        <v>97</v>
      </c>
      <c r="E27" s="30" t="s">
        <v>98</v>
      </c>
      <c r="F27" s="352" t="s">
        <v>99</v>
      </c>
      <c r="G27" s="353"/>
      <c r="I27">
        <f>SUM(I8:I26)</f>
        <v>14712353.66</v>
      </c>
    </row>
    <row r="28" spans="2:13" ht="15.75" customHeight="1" x14ac:dyDescent="0.25">
      <c r="B28" s="31">
        <v>1</v>
      </c>
      <c r="C28" s="14" t="s">
        <v>100</v>
      </c>
      <c r="D28" s="32">
        <f>'9. Financial indiacators'!C49</f>
        <v>0.41622785862219208</v>
      </c>
      <c r="E28" s="31" t="s">
        <v>101</v>
      </c>
      <c r="F28" s="33" t="s">
        <v>102</v>
      </c>
      <c r="G28" s="31" t="s">
        <v>103</v>
      </c>
    </row>
    <row r="29" spans="2:13" ht="26.45" customHeight="1" x14ac:dyDescent="0.25">
      <c r="B29" s="31">
        <v>2</v>
      </c>
      <c r="C29" s="14" t="s">
        <v>104</v>
      </c>
      <c r="D29" s="32">
        <f>'9. Financial indiacators'!C85</f>
        <v>0.17767040703165432</v>
      </c>
      <c r="E29" s="31" t="s">
        <v>101</v>
      </c>
      <c r="F29" s="33" t="s">
        <v>105</v>
      </c>
      <c r="G29" s="31" t="s">
        <v>106</v>
      </c>
    </row>
    <row r="30" spans="2:13" ht="15.75" customHeight="1" x14ac:dyDescent="0.25">
      <c r="B30" s="31">
        <v>3</v>
      </c>
      <c r="C30" s="14" t="s">
        <v>107</v>
      </c>
      <c r="D30" s="32">
        <f>'9. Financial indiacators'!C16</f>
        <v>0.11526333803468836</v>
      </c>
      <c r="E30" s="31" t="s">
        <v>101</v>
      </c>
      <c r="F30" s="33" t="s">
        <v>108</v>
      </c>
      <c r="G30" s="31" t="s">
        <v>109</v>
      </c>
    </row>
    <row r="31" spans="2:13" ht="38.25" x14ac:dyDescent="0.25">
      <c r="B31" s="31">
        <v>4</v>
      </c>
      <c r="C31" s="14" t="s">
        <v>110</v>
      </c>
      <c r="D31" s="34">
        <f>'9. Financial indiacators'!C73</f>
        <v>1414811.5669833086</v>
      </c>
      <c r="E31" s="31" t="s">
        <v>111</v>
      </c>
      <c r="F31" s="33" t="s">
        <v>112</v>
      </c>
      <c r="G31" s="31" t="s">
        <v>113</v>
      </c>
    </row>
    <row r="32" spans="2:13" ht="15.75" customHeight="1" x14ac:dyDescent="0.25">
      <c r="B32" s="31">
        <v>5</v>
      </c>
      <c r="C32" s="14" t="s">
        <v>114</v>
      </c>
      <c r="D32" s="35">
        <f>'9. Financial indiacators'!D101</f>
        <v>5.0892872227210351</v>
      </c>
      <c r="E32" s="31" t="s">
        <v>101</v>
      </c>
      <c r="F32" s="33" t="s">
        <v>115</v>
      </c>
      <c r="G32" s="31" t="s">
        <v>116</v>
      </c>
    </row>
    <row r="33" spans="2:7" ht="36.75" customHeight="1" x14ac:dyDescent="0.25">
      <c r="B33" s="31">
        <v>6</v>
      </c>
      <c r="C33" s="36" t="s">
        <v>117</v>
      </c>
      <c r="D33" s="35">
        <f>'9. Financial indiacators'!C119</f>
        <v>2.1238810017279603</v>
      </c>
      <c r="E33" s="37" t="s">
        <v>101</v>
      </c>
      <c r="F33" s="33" t="s">
        <v>118</v>
      </c>
      <c r="G33" s="36" t="s">
        <v>119</v>
      </c>
    </row>
    <row r="34" spans="2:7" ht="15.75" customHeight="1" x14ac:dyDescent="0.25"/>
    <row r="35" spans="2:7" ht="15.75" customHeight="1" x14ac:dyDescent="0.25"/>
    <row r="36" spans="2:7" ht="15.75" customHeight="1" x14ac:dyDescent="0.25"/>
    <row r="37" spans="2:7" ht="15.75" customHeight="1" x14ac:dyDescent="0.25"/>
    <row r="38" spans="2:7" ht="15.75" customHeight="1" x14ac:dyDescent="0.25"/>
    <row r="39" spans="2:7" ht="15.75" customHeight="1" x14ac:dyDescent="0.25"/>
    <row r="40" spans="2:7" ht="15.75" customHeight="1" x14ac:dyDescent="0.25"/>
    <row r="41" spans="2:7" ht="15.75" customHeight="1" x14ac:dyDescent="0.25"/>
    <row r="42" spans="2:7" ht="15.75" customHeight="1" x14ac:dyDescent="0.25"/>
    <row r="43" spans="2:7" ht="15.75" customHeight="1" x14ac:dyDescent="0.25"/>
    <row r="44" spans="2:7" ht="15.75" customHeight="1" x14ac:dyDescent="0.25"/>
    <row r="45" spans="2:7" ht="15.75" customHeight="1" x14ac:dyDescent="0.25"/>
    <row r="46" spans="2:7" ht="15.75" customHeight="1" x14ac:dyDescent="0.25"/>
    <row r="47" spans="2:7" ht="15.75" customHeight="1" x14ac:dyDescent="0.25"/>
    <row r="48" spans="2: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7">
    <mergeCell ref="F27:G27"/>
    <mergeCell ref="B26:F26"/>
    <mergeCell ref="B12:C12"/>
    <mergeCell ref="B22:C22"/>
    <mergeCell ref="B2:F2"/>
    <mergeCell ref="B16:F16"/>
    <mergeCell ref="B24:F24"/>
  </mergeCells>
  <conditionalFormatting sqref="D23">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30"/>
  <sheetViews>
    <sheetView tabSelected="1" view="pageBreakPreview" topLeftCell="A108" zoomScale="60" zoomScaleNormal="100" workbookViewId="0">
      <selection activeCell="J78" sqref="J78"/>
    </sheetView>
  </sheetViews>
  <sheetFormatPr defaultColWidth="14.42578125" defaultRowHeight="15" customHeight="1" x14ac:dyDescent="0.25"/>
  <cols>
    <col min="1" max="1" width="8.7109375" customWidth="1"/>
    <col min="2" max="2" width="7.5703125" style="319" customWidth="1"/>
    <col min="3" max="3" width="41.5703125" customWidth="1"/>
    <col min="4" max="4" width="19.140625" bestFit="1" customWidth="1"/>
    <col min="5" max="5" width="17" customWidth="1"/>
    <col min="6" max="6" width="14" customWidth="1"/>
    <col min="7" max="7" width="18.42578125" bestFit="1" customWidth="1"/>
    <col min="8" max="8" width="11.5703125" customWidth="1"/>
    <col min="9" max="9" width="10.85546875" bestFit="1" customWidth="1"/>
    <col min="10" max="10" width="11.85546875" bestFit="1" customWidth="1"/>
    <col min="11" max="11" width="8.7109375" customWidth="1"/>
  </cols>
  <sheetData>
    <row r="2" spans="1:11" ht="18.75" x14ac:dyDescent="0.3">
      <c r="A2">
        <v>2.1</v>
      </c>
      <c r="B2" s="354" t="s">
        <v>120</v>
      </c>
      <c r="C2" s="338"/>
      <c r="D2" s="338"/>
      <c r="E2" s="338"/>
      <c r="F2" s="338"/>
      <c r="G2" s="338"/>
    </row>
    <row r="4" spans="1:11" x14ac:dyDescent="0.25">
      <c r="B4" s="317" t="s">
        <v>81</v>
      </c>
      <c r="C4" s="38" t="s">
        <v>82</v>
      </c>
      <c r="D4" s="38" t="s">
        <v>121</v>
      </c>
      <c r="E4" s="38" t="s">
        <v>122</v>
      </c>
      <c r="F4" s="38" t="s">
        <v>123</v>
      </c>
      <c r="G4" s="38" t="s">
        <v>83</v>
      </c>
    </row>
    <row r="5" spans="1:11" x14ac:dyDescent="0.25">
      <c r="B5" s="318">
        <v>1</v>
      </c>
      <c r="C5" s="39" t="s">
        <v>124</v>
      </c>
      <c r="D5" s="39" t="s">
        <v>125</v>
      </c>
      <c r="E5" s="40"/>
      <c r="F5" s="41"/>
      <c r="G5" s="42" t="s">
        <v>126</v>
      </c>
    </row>
    <row r="6" spans="1:11" x14ac:dyDescent="0.25">
      <c r="B6" s="318">
        <v>2</v>
      </c>
      <c r="C6" s="39" t="s">
        <v>701</v>
      </c>
      <c r="D6" s="39" t="s">
        <v>125</v>
      </c>
      <c r="E6" s="44">
        <v>6250</v>
      </c>
      <c r="F6" s="45">
        <v>1390.1904</v>
      </c>
      <c r="G6" s="46">
        <v>8688690</v>
      </c>
      <c r="I6">
        <f>+'1.Project Cost and MOF'!D5</f>
        <v>8688690</v>
      </c>
      <c r="K6">
        <v>10000000</v>
      </c>
    </row>
    <row r="7" spans="1:11" x14ac:dyDescent="0.25">
      <c r="B7" s="318"/>
      <c r="C7" s="39"/>
      <c r="D7" s="43"/>
      <c r="E7" s="44"/>
      <c r="F7" s="45"/>
      <c r="G7" s="46">
        <f t="shared" ref="G7:G11" si="0">E7*F7</f>
        <v>0</v>
      </c>
      <c r="I7" s="286">
        <f>+I6/E6</f>
        <v>1390.1904</v>
      </c>
      <c r="K7">
        <f>+K6/1600</f>
        <v>6250</v>
      </c>
    </row>
    <row r="8" spans="1:11" x14ac:dyDescent="0.25">
      <c r="B8" s="318"/>
      <c r="C8" s="39"/>
      <c r="D8" s="43"/>
      <c r="E8" s="44"/>
      <c r="F8" s="45"/>
      <c r="G8" s="46">
        <f t="shared" si="0"/>
        <v>0</v>
      </c>
    </row>
    <row r="9" spans="1:11" x14ac:dyDescent="0.25">
      <c r="B9" s="318"/>
      <c r="C9" s="39"/>
      <c r="D9" s="43"/>
      <c r="E9" s="44"/>
      <c r="F9" s="45"/>
      <c r="G9" s="46">
        <f t="shared" si="0"/>
        <v>0</v>
      </c>
    </row>
    <row r="10" spans="1:11" x14ac:dyDescent="0.25">
      <c r="B10" s="318"/>
      <c r="C10" s="39"/>
      <c r="D10" s="43"/>
      <c r="E10" s="44"/>
      <c r="F10" s="45"/>
      <c r="G10" s="46">
        <f t="shared" si="0"/>
        <v>0</v>
      </c>
    </row>
    <row r="11" spans="1:11" x14ac:dyDescent="0.25">
      <c r="B11" s="318"/>
      <c r="C11" s="39"/>
      <c r="D11" s="43"/>
      <c r="E11" s="44"/>
      <c r="F11" s="45"/>
      <c r="G11" s="46">
        <f t="shared" si="0"/>
        <v>0</v>
      </c>
    </row>
    <row r="12" spans="1:11" x14ac:dyDescent="0.25">
      <c r="B12" s="361" t="s">
        <v>88</v>
      </c>
      <c r="C12" s="342"/>
      <c r="D12" s="342"/>
      <c r="E12" s="342"/>
      <c r="F12" s="343"/>
      <c r="G12" s="47">
        <f>SUM(G6:G11)</f>
        <v>8688690</v>
      </c>
    </row>
    <row r="15" spans="1:11" x14ac:dyDescent="0.25">
      <c r="B15" s="356" t="s">
        <v>127</v>
      </c>
      <c r="C15" s="338"/>
      <c r="D15" s="338"/>
      <c r="E15" s="338"/>
      <c r="F15" s="338"/>
      <c r="G15" s="338"/>
    </row>
    <row r="17" spans="1:8" ht="18.75" x14ac:dyDescent="0.3">
      <c r="A17">
        <v>2.2000000000000002</v>
      </c>
      <c r="B17" s="354" t="s">
        <v>128</v>
      </c>
      <c r="C17" s="338"/>
      <c r="D17" s="338"/>
      <c r="E17" s="338"/>
      <c r="F17" s="338"/>
      <c r="G17" s="338"/>
      <c r="H17" s="338"/>
    </row>
    <row r="19" spans="1:8" x14ac:dyDescent="0.25">
      <c r="B19" s="317" t="s">
        <v>81</v>
      </c>
      <c r="C19" s="38" t="s">
        <v>10</v>
      </c>
      <c r="D19" s="38" t="s">
        <v>129</v>
      </c>
      <c r="E19" s="38" t="s">
        <v>130</v>
      </c>
      <c r="F19" s="38" t="s">
        <v>131</v>
      </c>
      <c r="G19" s="38" t="s">
        <v>83</v>
      </c>
      <c r="H19" s="38" t="s">
        <v>132</v>
      </c>
    </row>
    <row r="20" spans="1:8" x14ac:dyDescent="0.25">
      <c r="B20" s="320"/>
      <c r="C20" s="50"/>
      <c r="D20" s="50"/>
      <c r="E20" s="50"/>
      <c r="F20" s="50"/>
      <c r="G20" s="51"/>
      <c r="H20" s="50"/>
    </row>
    <row r="21" spans="1:8" x14ac:dyDescent="0.25">
      <c r="B21" s="321" t="s">
        <v>19</v>
      </c>
      <c r="C21" s="53" t="s">
        <v>707</v>
      </c>
      <c r="D21" s="53"/>
      <c r="E21" s="52">
        <v>1</v>
      </c>
      <c r="F21" s="303">
        <v>2480000</v>
      </c>
      <c r="G21" s="51">
        <f t="shared" ref="G21:G31" si="1">E21*F21</f>
        <v>2480000</v>
      </c>
      <c r="H21" s="55"/>
    </row>
    <row r="22" spans="1:8" ht="30" customHeight="1" x14ac:dyDescent="0.25">
      <c r="B22" s="321"/>
      <c r="C22" s="53" t="s">
        <v>708</v>
      </c>
      <c r="D22" s="53"/>
      <c r="E22" s="52"/>
      <c r="F22" s="54"/>
      <c r="G22" s="51">
        <f t="shared" si="1"/>
        <v>0</v>
      </c>
      <c r="H22" s="55"/>
    </row>
    <row r="23" spans="1:8" ht="15.75" customHeight="1" x14ac:dyDescent="0.25">
      <c r="B23" s="321"/>
      <c r="C23" s="53" t="s">
        <v>709</v>
      </c>
      <c r="D23" s="53"/>
      <c r="E23" s="52"/>
      <c r="F23" s="54"/>
      <c r="G23" s="51">
        <f t="shared" si="1"/>
        <v>0</v>
      </c>
      <c r="H23" s="55"/>
    </row>
    <row r="24" spans="1:8" ht="15.75" customHeight="1" x14ac:dyDescent="0.25">
      <c r="B24" s="321"/>
      <c r="C24" s="53" t="s">
        <v>710</v>
      </c>
      <c r="D24" s="53"/>
      <c r="E24" s="52"/>
      <c r="F24" s="54"/>
      <c r="G24" s="51">
        <f t="shared" si="1"/>
        <v>0</v>
      </c>
      <c r="H24" s="55"/>
    </row>
    <row r="25" spans="1:8" ht="15.75" customHeight="1" x14ac:dyDescent="0.25">
      <c r="B25" s="321"/>
      <c r="C25" s="53" t="s">
        <v>711</v>
      </c>
      <c r="D25" s="53"/>
      <c r="E25" s="52"/>
      <c r="F25" s="54"/>
      <c r="G25" s="51">
        <f t="shared" si="1"/>
        <v>0</v>
      </c>
      <c r="H25" s="55"/>
    </row>
    <row r="26" spans="1:8" ht="15.75" customHeight="1" x14ac:dyDescent="0.25">
      <c r="B26" s="321"/>
      <c r="C26" s="53" t="s">
        <v>712</v>
      </c>
      <c r="D26" s="53"/>
      <c r="E26" s="52"/>
      <c r="F26" s="54"/>
      <c r="G26" s="51">
        <f t="shared" si="1"/>
        <v>0</v>
      </c>
      <c r="H26" s="55"/>
    </row>
    <row r="27" spans="1:8" ht="15.75" customHeight="1" x14ac:dyDescent="0.25">
      <c r="B27" s="321"/>
      <c r="C27" s="53" t="s">
        <v>713</v>
      </c>
      <c r="D27" s="53"/>
      <c r="E27" s="52"/>
      <c r="F27" s="54"/>
      <c r="G27" s="51">
        <f t="shared" si="1"/>
        <v>0</v>
      </c>
      <c r="H27" s="55"/>
    </row>
    <row r="28" spans="1:8" ht="15.75" customHeight="1" x14ac:dyDescent="0.25">
      <c r="B28" s="321"/>
      <c r="C28" s="53" t="s">
        <v>714</v>
      </c>
      <c r="D28" s="53"/>
      <c r="E28" s="52"/>
      <c r="F28" s="54"/>
      <c r="G28" s="51">
        <f t="shared" si="1"/>
        <v>0</v>
      </c>
      <c r="H28" s="55"/>
    </row>
    <row r="29" spans="1:8" ht="15.75" customHeight="1" x14ac:dyDescent="0.25">
      <c r="B29" s="321"/>
      <c r="C29" s="53" t="s">
        <v>715</v>
      </c>
      <c r="D29" s="52"/>
      <c r="E29" s="52">
        <v>1</v>
      </c>
      <c r="F29" s="303">
        <v>342200</v>
      </c>
      <c r="G29" s="51">
        <f t="shared" si="1"/>
        <v>342200</v>
      </c>
      <c r="H29" s="55">
        <v>100</v>
      </c>
    </row>
    <row r="30" spans="1:8" ht="15.75" customHeight="1" x14ac:dyDescent="0.25">
      <c r="B30" s="321"/>
      <c r="C30" s="53"/>
      <c r="D30" s="52"/>
      <c r="E30" s="52"/>
      <c r="F30" s="54"/>
      <c r="G30" s="51">
        <f t="shared" si="1"/>
        <v>0</v>
      </c>
      <c r="H30" s="55"/>
    </row>
    <row r="31" spans="1:8" ht="15.75" customHeight="1" x14ac:dyDescent="0.25">
      <c r="B31" s="321"/>
      <c r="C31" s="53"/>
      <c r="D31" s="52"/>
      <c r="E31" s="52"/>
      <c r="F31" s="54"/>
      <c r="G31" s="51">
        <f t="shared" si="1"/>
        <v>0</v>
      </c>
      <c r="H31" s="55"/>
    </row>
    <row r="32" spans="1:8" ht="15.75" customHeight="1" x14ac:dyDescent="0.25">
      <c r="B32" s="365" t="s">
        <v>134</v>
      </c>
      <c r="C32" s="343"/>
      <c r="D32" s="52"/>
      <c r="E32" s="52"/>
      <c r="F32" s="56"/>
      <c r="G32" s="301">
        <f t="shared" ref="G32:H32" si="2">SUM(G21:G31)</f>
        <v>2822200</v>
      </c>
      <c r="H32" s="51">
        <f t="shared" si="2"/>
        <v>100</v>
      </c>
    </row>
    <row r="33" spans="2:8" ht="15.75" customHeight="1" x14ac:dyDescent="0.25">
      <c r="B33" s="321"/>
      <c r="C33" s="53"/>
      <c r="D33" s="49"/>
      <c r="E33" s="49"/>
      <c r="F33" s="51"/>
      <c r="G33" s="51"/>
      <c r="H33" s="50"/>
    </row>
    <row r="34" spans="2:8" ht="28.5" x14ac:dyDescent="0.25">
      <c r="B34" s="321" t="s">
        <v>61</v>
      </c>
      <c r="C34" s="307" t="s">
        <v>731</v>
      </c>
      <c r="D34" s="43"/>
      <c r="E34" s="49">
        <v>1</v>
      </c>
      <c r="F34" s="51">
        <v>778807.08</v>
      </c>
      <c r="G34" s="51">
        <f t="shared" ref="G34:G39" si="3">E34*F34</f>
        <v>778807.08</v>
      </c>
      <c r="H34" s="50">
        <v>100</v>
      </c>
    </row>
    <row r="35" spans="2:8" ht="15.75" hidden="1" customHeight="1" x14ac:dyDescent="0.25">
      <c r="B35" s="320"/>
      <c r="C35" s="43"/>
      <c r="D35" s="49"/>
      <c r="E35" s="49"/>
      <c r="F35" s="51"/>
      <c r="G35" s="51">
        <f t="shared" si="3"/>
        <v>0</v>
      </c>
      <c r="H35" s="50"/>
    </row>
    <row r="36" spans="2:8" ht="15.75" hidden="1" customHeight="1" x14ac:dyDescent="0.25">
      <c r="B36" s="320"/>
      <c r="C36" s="43"/>
      <c r="D36" s="49"/>
      <c r="E36" s="49"/>
      <c r="F36" s="51"/>
      <c r="G36" s="51">
        <f t="shared" si="3"/>
        <v>0</v>
      </c>
      <c r="H36" s="50"/>
    </row>
    <row r="37" spans="2:8" ht="15.75" hidden="1" customHeight="1" x14ac:dyDescent="0.25">
      <c r="B37" s="320"/>
      <c r="C37" s="43"/>
      <c r="D37" s="49"/>
      <c r="E37" s="49"/>
      <c r="F37" s="51"/>
      <c r="G37" s="51">
        <f t="shared" si="3"/>
        <v>0</v>
      </c>
      <c r="H37" s="50"/>
    </row>
    <row r="38" spans="2:8" ht="15.75" hidden="1" customHeight="1" x14ac:dyDescent="0.25">
      <c r="B38" s="320"/>
      <c r="C38" s="43"/>
      <c r="D38" s="49"/>
      <c r="E38" s="49"/>
      <c r="F38" s="51"/>
      <c r="G38" s="51">
        <f t="shared" si="3"/>
        <v>0</v>
      </c>
      <c r="H38" s="50"/>
    </row>
    <row r="39" spans="2:8" ht="15.75" hidden="1" customHeight="1" x14ac:dyDescent="0.25">
      <c r="B39" s="320"/>
      <c r="C39" s="43"/>
      <c r="D39" s="49"/>
      <c r="E39" s="49"/>
      <c r="F39" s="51"/>
      <c r="G39" s="51">
        <f t="shared" si="3"/>
        <v>0</v>
      </c>
      <c r="H39" s="50"/>
    </row>
    <row r="40" spans="2:8" ht="15.75" hidden="1" customHeight="1" x14ac:dyDescent="0.25">
      <c r="B40" s="320"/>
      <c r="C40" s="43"/>
      <c r="D40" s="49"/>
      <c r="E40" s="49"/>
      <c r="F40" s="51"/>
      <c r="G40" s="51">
        <f t="shared" ref="G40:G46" si="4">F40</f>
        <v>0</v>
      </c>
      <c r="H40" s="50"/>
    </row>
    <row r="41" spans="2:8" ht="15.75" hidden="1" customHeight="1" x14ac:dyDescent="0.25">
      <c r="B41" s="320"/>
      <c r="C41" s="43"/>
      <c r="D41" s="49"/>
      <c r="E41" s="49"/>
      <c r="F41" s="51"/>
      <c r="G41" s="51">
        <f t="shared" si="4"/>
        <v>0</v>
      </c>
      <c r="H41" s="50"/>
    </row>
    <row r="42" spans="2:8" ht="15.75" hidden="1" customHeight="1" x14ac:dyDescent="0.25">
      <c r="B42" s="320"/>
      <c r="C42" s="43"/>
      <c r="D42" s="49"/>
      <c r="E42" s="49"/>
      <c r="F42" s="51"/>
      <c r="G42" s="51">
        <f t="shared" si="4"/>
        <v>0</v>
      </c>
      <c r="H42" s="50"/>
    </row>
    <row r="43" spans="2:8" ht="15.75" hidden="1" customHeight="1" x14ac:dyDescent="0.25">
      <c r="B43" s="320"/>
      <c r="C43" s="43"/>
      <c r="D43" s="49"/>
      <c r="E43" s="49"/>
      <c r="F43" s="51"/>
      <c r="G43" s="51">
        <f t="shared" si="4"/>
        <v>0</v>
      </c>
      <c r="H43" s="50"/>
    </row>
    <row r="44" spans="2:8" ht="15.75" hidden="1" customHeight="1" x14ac:dyDescent="0.25">
      <c r="B44" s="320"/>
      <c r="C44" s="43"/>
      <c r="D44" s="49"/>
      <c r="E44" s="49"/>
      <c r="F44" s="51"/>
      <c r="G44" s="51">
        <f t="shared" si="4"/>
        <v>0</v>
      </c>
      <c r="H44" s="50"/>
    </row>
    <row r="45" spans="2:8" ht="15.75" hidden="1" customHeight="1" x14ac:dyDescent="0.25">
      <c r="B45" s="320"/>
      <c r="C45" s="43"/>
      <c r="D45" s="49"/>
      <c r="E45" s="49"/>
      <c r="F45" s="51"/>
      <c r="G45" s="51">
        <f t="shared" si="4"/>
        <v>0</v>
      </c>
      <c r="H45" s="50"/>
    </row>
    <row r="46" spans="2:8" ht="15.75" customHeight="1" x14ac:dyDescent="0.25">
      <c r="B46" s="320"/>
      <c r="C46" s="307" t="s">
        <v>743</v>
      </c>
      <c r="D46" s="49"/>
      <c r="E46" s="49"/>
      <c r="F46" s="51"/>
      <c r="G46" s="51">
        <f t="shared" si="4"/>
        <v>0</v>
      </c>
      <c r="H46" s="50"/>
    </row>
    <row r="47" spans="2:8" ht="15.75" customHeight="1" x14ac:dyDescent="0.25">
      <c r="B47" s="365" t="s">
        <v>134</v>
      </c>
      <c r="C47" s="343"/>
      <c r="D47" s="52"/>
      <c r="E47" s="52"/>
      <c r="F47" s="56"/>
      <c r="G47" s="56">
        <f t="shared" ref="G47:H47" si="5">SUM(G34:G46)</f>
        <v>778807.08</v>
      </c>
      <c r="H47" s="56">
        <f t="shared" si="5"/>
        <v>100</v>
      </c>
    </row>
    <row r="48" spans="2:8" ht="15.75" customHeight="1" x14ac:dyDescent="0.25">
      <c r="B48" s="320"/>
      <c r="C48" s="315" t="s">
        <v>742</v>
      </c>
      <c r="D48" s="49"/>
      <c r="E48" s="49"/>
      <c r="F48" s="51"/>
      <c r="G48" s="51"/>
      <c r="H48" s="50"/>
    </row>
    <row r="49" spans="2:12" ht="15.75" customHeight="1" x14ac:dyDescent="0.25">
      <c r="B49" s="321" t="s">
        <v>135</v>
      </c>
      <c r="C49" s="53" t="s">
        <v>716</v>
      </c>
      <c r="D49" s="49"/>
      <c r="E49" s="49"/>
      <c r="F49" s="51"/>
      <c r="G49" s="51">
        <f t="shared" ref="G49:G64" si="6">E49*F49</f>
        <v>0</v>
      </c>
      <c r="H49" s="50"/>
    </row>
    <row r="50" spans="2:12" s="314" customFormat="1" ht="15.75" customHeight="1" x14ac:dyDescent="0.25">
      <c r="B50" s="321"/>
      <c r="C50" s="53" t="s">
        <v>747</v>
      </c>
      <c r="D50" s="49"/>
      <c r="E50" s="49">
        <v>1</v>
      </c>
      <c r="F50" s="51">
        <v>1215900</v>
      </c>
      <c r="G50" s="51">
        <f t="shared" si="6"/>
        <v>1215900</v>
      </c>
      <c r="H50" s="50"/>
      <c r="J50" s="51">
        <v>165000</v>
      </c>
    </row>
    <row r="51" spans="2:12" ht="28.5" x14ac:dyDescent="0.25">
      <c r="B51" s="321"/>
      <c r="C51" s="53" t="s">
        <v>748</v>
      </c>
      <c r="D51" s="49"/>
      <c r="E51" s="49">
        <v>1</v>
      </c>
      <c r="F51" s="51">
        <v>5605000</v>
      </c>
      <c r="G51" s="51">
        <f t="shared" si="6"/>
        <v>5605000</v>
      </c>
      <c r="H51" s="50"/>
      <c r="J51" s="51">
        <v>170000</v>
      </c>
    </row>
    <row r="52" spans="2:12" s="314" customFormat="1" ht="15.75" customHeight="1" x14ac:dyDescent="0.25">
      <c r="B52" s="321"/>
      <c r="C52" s="53" t="s">
        <v>732</v>
      </c>
      <c r="D52" s="49"/>
      <c r="E52" s="49">
        <v>1</v>
      </c>
      <c r="F52" s="51"/>
      <c r="G52" s="51">
        <f t="shared" si="6"/>
        <v>0</v>
      </c>
      <c r="H52" s="50"/>
      <c r="J52" s="51">
        <v>95000</v>
      </c>
    </row>
    <row r="53" spans="2:12" s="314" customFormat="1" ht="15.75" customHeight="1" x14ac:dyDescent="0.25">
      <c r="B53" s="321"/>
      <c r="C53" s="53" t="s">
        <v>733</v>
      </c>
      <c r="D53" s="49"/>
      <c r="E53" s="49">
        <v>1</v>
      </c>
      <c r="F53" s="51"/>
      <c r="G53" s="51">
        <f t="shared" si="6"/>
        <v>0</v>
      </c>
      <c r="H53" s="50"/>
      <c r="J53" s="51">
        <v>115000</v>
      </c>
    </row>
    <row r="54" spans="2:12" s="314" customFormat="1" ht="15.75" customHeight="1" x14ac:dyDescent="0.25">
      <c r="B54" s="321"/>
      <c r="C54" s="53" t="s">
        <v>734</v>
      </c>
      <c r="D54" s="49"/>
      <c r="E54" s="49">
        <v>1</v>
      </c>
      <c r="F54" s="51"/>
      <c r="G54" s="51">
        <f t="shared" si="6"/>
        <v>0</v>
      </c>
      <c r="H54" s="50"/>
      <c r="J54" s="51">
        <v>155000</v>
      </c>
    </row>
    <row r="55" spans="2:12" s="314" customFormat="1" ht="15.75" customHeight="1" x14ac:dyDescent="0.25">
      <c r="B55" s="321"/>
      <c r="C55" s="53" t="s">
        <v>735</v>
      </c>
      <c r="D55" s="49"/>
      <c r="E55" s="49">
        <v>1</v>
      </c>
      <c r="F55" s="51"/>
      <c r="G55" s="51">
        <f t="shared" si="6"/>
        <v>0</v>
      </c>
      <c r="H55" s="50"/>
      <c r="J55" s="51">
        <v>320000</v>
      </c>
    </row>
    <row r="56" spans="2:12" ht="15.75" customHeight="1" x14ac:dyDescent="0.25">
      <c r="B56" s="321"/>
      <c r="C56" s="53" t="s">
        <v>736</v>
      </c>
      <c r="D56" s="43"/>
      <c r="E56" s="49">
        <v>1</v>
      </c>
      <c r="F56" s="51"/>
      <c r="G56" s="51">
        <f t="shared" si="6"/>
        <v>0</v>
      </c>
      <c r="H56" s="50"/>
      <c r="J56" s="51">
        <v>85000</v>
      </c>
    </row>
    <row r="57" spans="2:12" s="314" customFormat="1" ht="15.75" customHeight="1" x14ac:dyDescent="0.25">
      <c r="B57" s="321"/>
      <c r="C57" s="53" t="s">
        <v>737</v>
      </c>
      <c r="D57" s="43"/>
      <c r="E57" s="49">
        <v>1</v>
      </c>
      <c r="F57" s="51"/>
      <c r="G57" s="51">
        <f t="shared" si="6"/>
        <v>0</v>
      </c>
      <c r="H57" s="50"/>
      <c r="J57" s="51">
        <v>220000</v>
      </c>
    </row>
    <row r="58" spans="2:12" s="314" customFormat="1" ht="15.75" customHeight="1" x14ac:dyDescent="0.25">
      <c r="B58" s="321"/>
      <c r="C58" s="53" t="s">
        <v>738</v>
      </c>
      <c r="D58" s="43"/>
      <c r="E58" s="49">
        <v>1</v>
      </c>
      <c r="F58" s="51"/>
      <c r="G58" s="51">
        <f t="shared" si="6"/>
        <v>0</v>
      </c>
      <c r="H58" s="50"/>
      <c r="J58" s="51">
        <v>230000</v>
      </c>
    </row>
    <row r="59" spans="2:12" ht="15.75" customHeight="1" x14ac:dyDescent="0.25">
      <c r="B59" s="321"/>
      <c r="C59" s="53" t="s">
        <v>739</v>
      </c>
      <c r="D59" s="43"/>
      <c r="E59" s="49">
        <v>1</v>
      </c>
      <c r="F59" s="51"/>
      <c r="G59" s="51">
        <f t="shared" si="6"/>
        <v>0</v>
      </c>
      <c r="H59" s="50"/>
      <c r="J59" s="51">
        <v>200000</v>
      </c>
    </row>
    <row r="60" spans="2:12" s="314" customFormat="1" ht="15.75" customHeight="1" x14ac:dyDescent="0.3">
      <c r="B60" s="321"/>
      <c r="C60" s="307" t="s">
        <v>740</v>
      </c>
      <c r="D60" s="49"/>
      <c r="E60" s="49">
        <v>1</v>
      </c>
      <c r="F60" s="64">
        <v>805000</v>
      </c>
      <c r="G60" s="51">
        <f t="shared" si="6"/>
        <v>805000</v>
      </c>
      <c r="H60" s="50"/>
      <c r="J60" s="64">
        <v>805000</v>
      </c>
      <c r="L60" s="336">
        <f>+'13.Facility 2 Grain Processing'!C139</f>
        <v>8200</v>
      </c>
    </row>
    <row r="61" spans="2:12" s="314" customFormat="1" ht="15.75" customHeight="1" x14ac:dyDescent="0.25">
      <c r="B61" s="321"/>
      <c r="C61" s="307" t="s">
        <v>741</v>
      </c>
      <c r="D61" s="49"/>
      <c r="E61" s="49">
        <v>1</v>
      </c>
      <c r="F61" s="64">
        <v>1027000</v>
      </c>
      <c r="G61" s="51">
        <f t="shared" si="6"/>
        <v>1027000</v>
      </c>
      <c r="H61" s="50"/>
      <c r="J61" s="64">
        <v>1027000</v>
      </c>
    </row>
    <row r="62" spans="2:12" ht="15.75" customHeight="1" x14ac:dyDescent="0.25">
      <c r="B62" s="320"/>
      <c r="C62" s="307" t="s">
        <v>717</v>
      </c>
      <c r="D62" s="43"/>
      <c r="E62" s="49">
        <v>1</v>
      </c>
      <c r="F62" s="51">
        <v>305000</v>
      </c>
      <c r="G62" s="51">
        <f t="shared" si="6"/>
        <v>305000</v>
      </c>
      <c r="H62" s="50"/>
      <c r="J62" s="51">
        <v>305000</v>
      </c>
    </row>
    <row r="63" spans="2:12" ht="15.75" customHeight="1" x14ac:dyDescent="0.25">
      <c r="B63" s="321"/>
      <c r="C63" s="53" t="s">
        <v>727</v>
      </c>
      <c r="D63" s="43"/>
      <c r="E63" s="49">
        <v>1</v>
      </c>
      <c r="F63" s="51">
        <v>993322</v>
      </c>
      <c r="G63" s="51">
        <f t="shared" si="6"/>
        <v>993322</v>
      </c>
      <c r="H63" s="50"/>
      <c r="J63" s="51">
        <v>993322</v>
      </c>
    </row>
    <row r="64" spans="2:12" s="326" customFormat="1" ht="15.75" customHeight="1" x14ac:dyDescent="0.25">
      <c r="B64" s="329"/>
      <c r="C64" s="53" t="s">
        <v>746</v>
      </c>
      <c r="D64" s="43"/>
      <c r="E64" s="49">
        <v>1</v>
      </c>
      <c r="F64" s="51">
        <v>335000</v>
      </c>
      <c r="G64" s="51">
        <f t="shared" si="6"/>
        <v>335000</v>
      </c>
      <c r="H64" s="50"/>
      <c r="J64" s="51">
        <v>335000</v>
      </c>
    </row>
    <row r="65" spans="1:11" ht="15.75" customHeight="1" x14ac:dyDescent="0.25">
      <c r="B65" s="365" t="s">
        <v>134</v>
      </c>
      <c r="C65" s="343"/>
      <c r="D65" s="43"/>
      <c r="E65" s="49"/>
      <c r="F65" s="51"/>
      <c r="G65" s="301">
        <f>SUM(G49:G64)</f>
        <v>10286222</v>
      </c>
      <c r="H65" s="51">
        <f t="shared" ref="H65" si="7">SUM(H49:H63)</f>
        <v>0</v>
      </c>
      <c r="J65" s="334">
        <f>SUM(J50:J64)</f>
        <v>5220322</v>
      </c>
    </row>
    <row r="66" spans="1:11" ht="15.75" hidden="1" customHeight="1" x14ac:dyDescent="0.25">
      <c r="B66" s="321"/>
      <c r="C66" s="52"/>
      <c r="D66" s="43"/>
      <c r="E66" s="49"/>
      <c r="F66" s="51"/>
      <c r="G66" s="51"/>
      <c r="H66" s="51"/>
    </row>
    <row r="67" spans="1:11" ht="15.75" hidden="1" customHeight="1" x14ac:dyDescent="0.25">
      <c r="B67" s="321" t="s">
        <v>137</v>
      </c>
      <c r="C67" s="307"/>
      <c r="D67" s="43"/>
      <c r="E67" s="49"/>
      <c r="F67" s="51"/>
      <c r="G67" s="51">
        <f t="shared" ref="G67:G70" si="8">E67*F67</f>
        <v>0</v>
      </c>
      <c r="H67" s="51"/>
    </row>
    <row r="68" spans="1:11" ht="15.75" hidden="1" customHeight="1" x14ac:dyDescent="0.25">
      <c r="B68" s="321"/>
      <c r="C68" s="52"/>
      <c r="D68" s="43"/>
      <c r="E68" s="49"/>
      <c r="F68" s="51"/>
      <c r="G68" s="51">
        <f t="shared" si="8"/>
        <v>0</v>
      </c>
      <c r="H68" s="51"/>
    </row>
    <row r="69" spans="1:11" ht="15.75" hidden="1" customHeight="1" x14ac:dyDescent="0.25">
      <c r="B69" s="321"/>
      <c r="C69" s="52"/>
      <c r="D69" s="43"/>
      <c r="E69" s="49"/>
      <c r="F69" s="51"/>
      <c r="G69" s="51">
        <f t="shared" si="8"/>
        <v>0</v>
      </c>
      <c r="H69" s="51"/>
    </row>
    <row r="70" spans="1:11" ht="15.75" hidden="1" customHeight="1" x14ac:dyDescent="0.25">
      <c r="B70" s="321"/>
      <c r="C70" s="53"/>
      <c r="D70" s="43"/>
      <c r="E70" s="49"/>
      <c r="F70" s="51"/>
      <c r="G70" s="51">
        <f t="shared" si="8"/>
        <v>0</v>
      </c>
      <c r="H70" s="50"/>
    </row>
    <row r="71" spans="1:11" ht="15.75" hidden="1" customHeight="1" x14ac:dyDescent="0.25">
      <c r="B71" s="365" t="s">
        <v>134</v>
      </c>
      <c r="C71" s="343"/>
      <c r="D71" s="43"/>
      <c r="E71" s="49"/>
      <c r="F71" s="51"/>
      <c r="G71" s="301">
        <f t="shared" ref="G71:H71" si="9">SUM(G67:G70)</f>
        <v>0</v>
      </c>
      <c r="H71" s="51">
        <f t="shared" si="9"/>
        <v>0</v>
      </c>
    </row>
    <row r="72" spans="1:11" ht="15.75" customHeight="1" x14ac:dyDescent="0.25">
      <c r="B72" s="320"/>
      <c r="C72" s="43"/>
      <c r="D72" s="43"/>
      <c r="E72" s="49"/>
      <c r="F72" s="51"/>
      <c r="G72" s="51"/>
      <c r="H72" s="50"/>
    </row>
    <row r="73" spans="1:11" ht="15.75" customHeight="1" x14ac:dyDescent="0.25">
      <c r="B73" s="361" t="s">
        <v>88</v>
      </c>
      <c r="C73" s="342"/>
      <c r="D73" s="342"/>
      <c r="E73" s="342"/>
      <c r="F73" s="343"/>
      <c r="G73" s="47">
        <f>G65+G47+G32+G71</f>
        <v>13887229.08</v>
      </c>
      <c r="H73" s="47">
        <f>H47+H21+H65+H71</f>
        <v>100</v>
      </c>
    </row>
    <row r="74" spans="1:11" ht="15.75" customHeight="1" x14ac:dyDescent="0.25">
      <c r="G74" s="57"/>
    </row>
    <row r="75" spans="1:11" ht="15.75" customHeight="1" x14ac:dyDescent="0.25">
      <c r="B75" s="356" t="s">
        <v>138</v>
      </c>
      <c r="C75" s="338"/>
      <c r="D75" s="338"/>
      <c r="E75" s="338"/>
      <c r="F75" s="338"/>
      <c r="G75" s="338"/>
      <c r="H75" s="338"/>
    </row>
    <row r="76" spans="1:11" ht="15.75" customHeight="1" x14ac:dyDescent="0.25">
      <c r="G76" s="57"/>
      <c r="I76" s="48"/>
      <c r="J76" s="48"/>
      <c r="K76" s="57"/>
    </row>
    <row r="77" spans="1:11" ht="15.75" customHeight="1" x14ac:dyDescent="0.25"/>
    <row r="78" spans="1:11" ht="15.75" customHeight="1" x14ac:dyDescent="0.25"/>
    <row r="79" spans="1:11" ht="15.75" customHeight="1" x14ac:dyDescent="0.3">
      <c r="A79">
        <v>2.2999999999999998</v>
      </c>
      <c r="B79" s="354" t="s">
        <v>139</v>
      </c>
      <c r="C79" s="338"/>
      <c r="D79" s="338"/>
      <c r="E79" s="338"/>
      <c r="F79" s="338"/>
    </row>
    <row r="80" spans="1:11" ht="15.75" customHeight="1" x14ac:dyDescent="0.25"/>
    <row r="81" spans="1:7" ht="15.75" customHeight="1" x14ac:dyDescent="0.25">
      <c r="B81" s="322" t="s">
        <v>81</v>
      </c>
      <c r="C81" s="58" t="s">
        <v>82</v>
      </c>
      <c r="D81" s="58" t="s">
        <v>130</v>
      </c>
      <c r="E81" s="58" t="s">
        <v>131</v>
      </c>
      <c r="F81" s="58" t="s">
        <v>83</v>
      </c>
    </row>
    <row r="82" spans="1:7" ht="15.75" customHeight="1" x14ac:dyDescent="0.25">
      <c r="B82" s="323">
        <v>1</v>
      </c>
      <c r="C82" s="60" t="s">
        <v>729</v>
      </c>
      <c r="D82" s="59">
        <v>1</v>
      </c>
      <c r="E82" s="61">
        <v>200000</v>
      </c>
      <c r="F82" s="62">
        <f t="shared" ref="F82:F87" si="10">D82*E82</f>
        <v>200000</v>
      </c>
    </row>
    <row r="83" spans="1:7" ht="15.75" customHeight="1" x14ac:dyDescent="0.25">
      <c r="B83" s="323"/>
      <c r="C83" s="60"/>
      <c r="D83" s="59"/>
      <c r="E83" s="61"/>
      <c r="F83" s="62">
        <f t="shared" si="10"/>
        <v>0</v>
      </c>
    </row>
    <row r="84" spans="1:7" ht="15.75" customHeight="1" x14ac:dyDescent="0.25">
      <c r="B84" s="323"/>
      <c r="C84" s="60"/>
      <c r="D84" s="59"/>
      <c r="E84" s="61"/>
      <c r="F84" s="62">
        <f t="shared" si="10"/>
        <v>0</v>
      </c>
    </row>
    <row r="85" spans="1:7" ht="15.75" customHeight="1" x14ac:dyDescent="0.25">
      <c r="B85" s="323"/>
      <c r="C85" s="60"/>
      <c r="D85" s="59"/>
      <c r="E85" s="61"/>
      <c r="F85" s="62">
        <f t="shared" si="10"/>
        <v>0</v>
      </c>
    </row>
    <row r="86" spans="1:7" ht="15.75" customHeight="1" x14ac:dyDescent="0.25">
      <c r="B86" s="323"/>
      <c r="C86" s="60"/>
      <c r="D86" s="59"/>
      <c r="E86" s="61"/>
      <c r="F86" s="62">
        <f t="shared" si="10"/>
        <v>0</v>
      </c>
    </row>
    <row r="87" spans="1:7" ht="15.75" customHeight="1" x14ac:dyDescent="0.25">
      <c r="B87" s="323"/>
      <c r="C87" s="60"/>
      <c r="D87" s="59"/>
      <c r="E87" s="61"/>
      <c r="F87" s="62">
        <f t="shared" si="10"/>
        <v>0</v>
      </c>
    </row>
    <row r="88" spans="1:7" ht="15.75" customHeight="1" x14ac:dyDescent="0.25">
      <c r="B88" s="366" t="s">
        <v>88</v>
      </c>
      <c r="C88" s="342"/>
      <c r="D88" s="342"/>
      <c r="E88" s="343"/>
      <c r="F88" s="63">
        <f>SUM(F82:F87)</f>
        <v>200000</v>
      </c>
    </row>
    <row r="89" spans="1:7" ht="15.75" customHeight="1" x14ac:dyDescent="0.25"/>
    <row r="90" spans="1:7" ht="15.75" customHeight="1" x14ac:dyDescent="0.25">
      <c r="A90" s="356" t="s">
        <v>140</v>
      </c>
      <c r="B90" s="338"/>
      <c r="C90" s="338"/>
      <c r="D90" s="338"/>
      <c r="E90" s="338"/>
      <c r="F90" s="338"/>
      <c r="G90" s="338"/>
    </row>
    <row r="91" spans="1:7" ht="15.75" customHeight="1" x14ac:dyDescent="0.25"/>
    <row r="92" spans="1:7" ht="15.75" customHeight="1" x14ac:dyDescent="0.25"/>
    <row r="93" spans="1:7" ht="15.75" customHeight="1" x14ac:dyDescent="0.3">
      <c r="A93">
        <v>2.4</v>
      </c>
      <c r="B93" s="354" t="s">
        <v>141</v>
      </c>
      <c r="C93" s="338"/>
      <c r="D93" s="338"/>
      <c r="E93" s="338"/>
      <c r="F93" s="338"/>
    </row>
    <row r="94" spans="1:7" ht="15.75" customHeight="1" x14ac:dyDescent="0.25"/>
    <row r="95" spans="1:7" ht="15.75" customHeight="1" x14ac:dyDescent="0.25">
      <c r="B95" s="322" t="s">
        <v>81</v>
      </c>
      <c r="C95" s="58" t="s">
        <v>82</v>
      </c>
      <c r="D95" s="58" t="s">
        <v>130</v>
      </c>
      <c r="E95" s="58" t="s">
        <v>131</v>
      </c>
      <c r="F95" s="58" t="s">
        <v>83</v>
      </c>
    </row>
    <row r="96" spans="1:7" ht="15.75" customHeight="1" x14ac:dyDescent="0.25">
      <c r="B96" s="323">
        <v>1</v>
      </c>
      <c r="C96" s="60" t="s">
        <v>730</v>
      </c>
      <c r="D96" s="59">
        <v>1</v>
      </c>
      <c r="E96" s="61">
        <v>100000</v>
      </c>
      <c r="F96" s="62">
        <f t="shared" ref="F96:F101" si="11">D96*E96</f>
        <v>100000</v>
      </c>
    </row>
    <row r="97" spans="1:7" ht="15.75" customHeight="1" x14ac:dyDescent="0.25">
      <c r="B97" s="323"/>
      <c r="C97" s="316" t="s">
        <v>744</v>
      </c>
      <c r="D97" s="59">
        <v>1</v>
      </c>
      <c r="E97" s="61">
        <v>21240</v>
      </c>
      <c r="F97" s="62">
        <f t="shared" si="11"/>
        <v>21240</v>
      </c>
    </row>
    <row r="98" spans="1:7" ht="15.75" customHeight="1" x14ac:dyDescent="0.25">
      <c r="B98" s="323"/>
      <c r="C98" s="60"/>
      <c r="D98" s="59"/>
      <c r="E98" s="61"/>
      <c r="F98" s="62">
        <f t="shared" si="11"/>
        <v>0</v>
      </c>
    </row>
    <row r="99" spans="1:7" ht="15.75" customHeight="1" x14ac:dyDescent="0.25">
      <c r="B99" s="323"/>
      <c r="C99" s="60"/>
      <c r="D99" s="59"/>
      <c r="E99" s="61"/>
      <c r="F99" s="62">
        <f t="shared" si="11"/>
        <v>0</v>
      </c>
    </row>
    <row r="100" spans="1:7" ht="15.75" customHeight="1" x14ac:dyDescent="0.25">
      <c r="B100" s="323"/>
      <c r="C100" s="60"/>
      <c r="D100" s="59"/>
      <c r="E100" s="61"/>
      <c r="F100" s="62">
        <f t="shared" si="11"/>
        <v>0</v>
      </c>
    </row>
    <row r="101" spans="1:7" ht="15.75" customHeight="1" x14ac:dyDescent="0.25">
      <c r="B101" s="323"/>
      <c r="C101" s="60"/>
      <c r="D101" s="59"/>
      <c r="E101" s="61"/>
      <c r="F101" s="62">
        <f t="shared" si="11"/>
        <v>0</v>
      </c>
    </row>
    <row r="102" spans="1:7" ht="15.75" customHeight="1" x14ac:dyDescent="0.25">
      <c r="B102" s="366" t="s">
        <v>88</v>
      </c>
      <c r="C102" s="342"/>
      <c r="D102" s="342"/>
      <c r="E102" s="343"/>
      <c r="F102" s="63">
        <f>SUM(F96:F101)</f>
        <v>121240</v>
      </c>
    </row>
    <row r="103" spans="1:7" ht="15.75" customHeight="1" x14ac:dyDescent="0.25"/>
    <row r="104" spans="1:7" ht="15.75" customHeight="1" x14ac:dyDescent="0.25">
      <c r="A104" s="356" t="s">
        <v>140</v>
      </c>
      <c r="B104" s="338"/>
      <c r="C104" s="338"/>
      <c r="D104" s="338"/>
      <c r="E104" s="338"/>
      <c r="F104" s="338"/>
      <c r="G104" s="338"/>
    </row>
    <row r="105" spans="1:7" ht="15.75" customHeight="1" x14ac:dyDescent="0.25"/>
    <row r="106" spans="1:7" ht="15.75" customHeight="1" x14ac:dyDescent="0.25"/>
    <row r="107" spans="1:7" ht="15.75" customHeight="1" x14ac:dyDescent="0.3">
      <c r="A107">
        <v>2.5</v>
      </c>
      <c r="B107" s="354" t="s">
        <v>142</v>
      </c>
      <c r="C107" s="338"/>
      <c r="D107" s="338"/>
      <c r="E107" s="338"/>
      <c r="F107" s="338"/>
    </row>
    <row r="108" spans="1:7" ht="15.75" customHeight="1" x14ac:dyDescent="0.25"/>
    <row r="109" spans="1:7" ht="15.75" customHeight="1" x14ac:dyDescent="0.25">
      <c r="B109" s="317" t="s">
        <v>81</v>
      </c>
      <c r="C109" s="38" t="s">
        <v>82</v>
      </c>
      <c r="D109" s="38" t="s">
        <v>130</v>
      </c>
      <c r="E109" s="38" t="s">
        <v>131</v>
      </c>
      <c r="F109" s="38" t="s">
        <v>83</v>
      </c>
    </row>
    <row r="110" spans="1:7" ht="30" hidden="1" x14ac:dyDescent="0.25">
      <c r="B110" s="320">
        <v>1</v>
      </c>
      <c r="C110" s="302" t="s">
        <v>728</v>
      </c>
      <c r="D110" s="49">
        <v>1</v>
      </c>
      <c r="E110" s="64">
        <f>990846*0</f>
        <v>0</v>
      </c>
      <c r="F110" s="51">
        <f t="shared" ref="F110:F115" si="12">E110*D110</f>
        <v>0</v>
      </c>
    </row>
    <row r="111" spans="1:7" ht="15.75" customHeight="1" x14ac:dyDescent="0.25">
      <c r="B111" s="320"/>
      <c r="C111" s="302"/>
      <c r="D111" s="49"/>
      <c r="E111" s="64"/>
      <c r="F111" s="51">
        <f t="shared" si="12"/>
        <v>0</v>
      </c>
    </row>
    <row r="112" spans="1:7" s="291" customFormat="1" x14ac:dyDescent="0.25">
      <c r="B112" s="320"/>
      <c r="C112" s="302"/>
      <c r="D112" s="49"/>
      <c r="E112" s="64"/>
      <c r="F112" s="51">
        <f t="shared" si="12"/>
        <v>0</v>
      </c>
    </row>
    <row r="113" spans="1:7" s="291" customFormat="1" ht="15.75" customHeight="1" x14ac:dyDescent="0.25">
      <c r="B113" s="320"/>
      <c r="C113" s="302"/>
      <c r="D113" s="49"/>
      <c r="E113" s="64"/>
      <c r="F113" s="51">
        <f t="shared" si="12"/>
        <v>0</v>
      </c>
    </row>
    <row r="114" spans="1:7" s="291" customFormat="1" ht="15.75" customHeight="1" x14ac:dyDescent="0.25">
      <c r="B114" s="320"/>
      <c r="C114" s="302"/>
      <c r="D114" s="49"/>
      <c r="E114" s="64"/>
      <c r="F114" s="51"/>
    </row>
    <row r="115" spans="1:7" ht="15.75" customHeight="1" x14ac:dyDescent="0.25">
      <c r="B115" s="320"/>
      <c r="C115" s="43"/>
      <c r="D115" s="49"/>
      <c r="E115" s="64"/>
      <c r="F115" s="51">
        <f t="shared" si="12"/>
        <v>0</v>
      </c>
    </row>
    <row r="116" spans="1:7" ht="15.75" customHeight="1" x14ac:dyDescent="0.25">
      <c r="B116" s="361" t="s">
        <v>88</v>
      </c>
      <c r="C116" s="342"/>
      <c r="D116" s="342"/>
      <c r="E116" s="343"/>
      <c r="F116" s="47">
        <f>SUM(F110:F115)</f>
        <v>0</v>
      </c>
    </row>
    <row r="117" spans="1:7" ht="15.75" customHeight="1" x14ac:dyDescent="0.25">
      <c r="A117" s="362" t="s">
        <v>143</v>
      </c>
      <c r="B117" s="363"/>
      <c r="C117" s="363"/>
      <c r="D117" s="363"/>
      <c r="E117" s="363"/>
      <c r="F117" s="363"/>
      <c r="G117" s="364"/>
    </row>
    <row r="118" spans="1:7" ht="15.75" customHeight="1" x14ac:dyDescent="0.25"/>
    <row r="119" spans="1:7" ht="15.75" customHeight="1" x14ac:dyDescent="0.25"/>
    <row r="120" spans="1:7" ht="15.75" customHeight="1" x14ac:dyDescent="0.3">
      <c r="A120">
        <v>2.6</v>
      </c>
      <c r="B120" s="354" t="s">
        <v>144</v>
      </c>
      <c r="C120" s="338"/>
      <c r="D120" s="338"/>
    </row>
    <row r="121" spans="1:7" ht="15.75" customHeight="1" x14ac:dyDescent="0.25"/>
    <row r="122" spans="1:7" ht="15.75" customHeight="1" x14ac:dyDescent="0.25">
      <c r="B122" s="324" t="s">
        <v>81</v>
      </c>
      <c r="C122" s="65" t="s">
        <v>82</v>
      </c>
      <c r="D122" s="65" t="s">
        <v>145</v>
      </c>
    </row>
    <row r="123" spans="1:7" ht="15.75" customHeight="1" x14ac:dyDescent="0.25">
      <c r="B123" s="325">
        <v>1</v>
      </c>
      <c r="C123" s="66" t="s">
        <v>702</v>
      </c>
      <c r="D123" s="67">
        <v>150000</v>
      </c>
    </row>
    <row r="124" spans="1:7" ht="30" x14ac:dyDescent="0.25">
      <c r="B124" s="325">
        <v>2</v>
      </c>
      <c r="C124" s="66" t="s">
        <v>745</v>
      </c>
      <c r="D124" s="67">
        <v>300000</v>
      </c>
    </row>
    <row r="125" spans="1:7" x14ac:dyDescent="0.25">
      <c r="B125" s="325"/>
      <c r="C125" s="66"/>
      <c r="D125" s="67"/>
    </row>
    <row r="126" spans="1:7" ht="15.75" customHeight="1" x14ac:dyDescent="0.25">
      <c r="B126" s="325"/>
      <c r="C126" s="66"/>
      <c r="D126" s="67"/>
    </row>
    <row r="127" spans="1:7" ht="15.75" customHeight="1" x14ac:dyDescent="0.25">
      <c r="B127" s="325"/>
      <c r="C127" s="66"/>
      <c r="D127" s="67"/>
    </row>
    <row r="128" spans="1:7" ht="15.75" customHeight="1" x14ac:dyDescent="0.25">
      <c r="B128" s="357" t="s">
        <v>88</v>
      </c>
      <c r="C128" s="358"/>
      <c r="D128" s="68">
        <f>SUM(D123:D127)</f>
        <v>450000</v>
      </c>
    </row>
    <row r="129" spans="1:5" ht="15.75" customHeight="1" x14ac:dyDescent="0.25"/>
    <row r="130" spans="1:5" ht="25.5" customHeight="1" x14ac:dyDescent="0.25">
      <c r="A130" s="359" t="s">
        <v>146</v>
      </c>
      <c r="B130" s="360"/>
      <c r="C130" s="360"/>
      <c r="D130" s="360"/>
      <c r="E130" s="360"/>
    </row>
  </sheetData>
  <mergeCells count="22">
    <mergeCell ref="B12:F12"/>
    <mergeCell ref="B2:G2"/>
    <mergeCell ref="B73:F73"/>
    <mergeCell ref="B32:C32"/>
    <mergeCell ref="B102:E102"/>
    <mergeCell ref="B79:F79"/>
    <mergeCell ref="B75:H75"/>
    <mergeCell ref="B15:G15"/>
    <mergeCell ref="B17:H17"/>
    <mergeCell ref="B71:C71"/>
    <mergeCell ref="B47:C47"/>
    <mergeCell ref="B65:C65"/>
    <mergeCell ref="B88:E88"/>
    <mergeCell ref="A90:G90"/>
    <mergeCell ref="B93:F93"/>
    <mergeCell ref="B128:C128"/>
    <mergeCell ref="A130:E130"/>
    <mergeCell ref="A104:G104"/>
    <mergeCell ref="B116:E116"/>
    <mergeCell ref="B107:F107"/>
    <mergeCell ref="A117:G117"/>
    <mergeCell ref="B120:D120"/>
  </mergeCells>
  <pageMargins left="0.25" right="0.25" top="0.75" bottom="0.75" header="0.3" footer="0.3"/>
  <pageSetup paperSize="9" scale="72" fitToHeight="0" orientation="portrait"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16"/>
  <sheetViews>
    <sheetView view="pageBreakPreview" zoomScale="60" zoomScaleNormal="100" workbookViewId="0">
      <selection activeCell="L6" sqref="L6"/>
    </sheetView>
  </sheetViews>
  <sheetFormatPr defaultColWidth="14.42578125" defaultRowHeight="15" customHeight="1" x14ac:dyDescent="0.25"/>
  <cols>
    <col min="1" max="1" width="41.28515625" style="288" customWidth="1"/>
    <col min="2" max="2" width="13" style="288" customWidth="1"/>
    <col min="3" max="3" width="12.5703125" style="288" customWidth="1"/>
    <col min="4" max="4" width="13.42578125" style="288" customWidth="1"/>
    <col min="5" max="5" width="14.85546875" style="288" customWidth="1"/>
    <col min="6" max="7" width="14.7109375" style="288" customWidth="1"/>
    <col min="8" max="9" width="14.85546875" style="288" customWidth="1"/>
    <col min="10" max="10" width="14.7109375" style="288" customWidth="1"/>
    <col min="11" max="11" width="14.85546875" style="288" customWidth="1"/>
    <col min="12" max="12" width="37" style="332" bestFit="1" customWidth="1"/>
    <col min="13" max="17" width="12" style="288" customWidth="1"/>
    <col min="18" max="16384" width="14.42578125" style="288"/>
  </cols>
  <sheetData>
    <row r="2" spans="1:12" ht="18.75" x14ac:dyDescent="0.3">
      <c r="A2" s="294" t="s">
        <v>147</v>
      </c>
    </row>
    <row r="4" spans="1:12" x14ac:dyDescent="0.25">
      <c r="A4" s="69"/>
      <c r="B4" s="69"/>
      <c r="C4" s="69"/>
      <c r="D4" s="69"/>
      <c r="E4" s="70">
        <v>1</v>
      </c>
      <c r="F4" s="71">
        <f t="shared" ref="F4:K4" si="0">(E4*5%)+E4</f>
        <v>1.05</v>
      </c>
      <c r="G4" s="71">
        <f t="shared" si="0"/>
        <v>1.1025</v>
      </c>
      <c r="H4" s="71">
        <f t="shared" si="0"/>
        <v>1.1576250000000001</v>
      </c>
      <c r="I4" s="71">
        <f t="shared" si="0"/>
        <v>1.2155062500000002</v>
      </c>
      <c r="J4" s="71">
        <f t="shared" si="0"/>
        <v>1.2762815625000004</v>
      </c>
      <c r="K4" s="71">
        <f t="shared" si="0"/>
        <v>1.3400956406250004</v>
      </c>
      <c r="L4" s="71"/>
    </row>
    <row r="5" spans="1:12" x14ac:dyDescent="0.25">
      <c r="A5" s="69"/>
      <c r="B5" s="69"/>
      <c r="C5" s="69"/>
      <c r="D5" s="69"/>
      <c r="E5" s="69"/>
      <c r="F5" s="69"/>
      <c r="G5" s="69"/>
      <c r="H5" s="69"/>
      <c r="I5" s="69"/>
      <c r="J5" s="69"/>
      <c r="K5" s="69"/>
      <c r="L5" s="69"/>
    </row>
    <row r="6" spans="1:12" s="293" customFormat="1" ht="28.5" customHeight="1" x14ac:dyDescent="0.25">
      <c r="A6" s="292" t="s">
        <v>148</v>
      </c>
      <c r="B6" s="292" t="s">
        <v>121</v>
      </c>
      <c r="C6" s="38" t="s">
        <v>149</v>
      </c>
      <c r="D6" s="292" t="s">
        <v>150</v>
      </c>
      <c r="E6" s="292" t="s">
        <v>151</v>
      </c>
      <c r="F6" s="292" t="s">
        <v>152</v>
      </c>
      <c r="G6" s="292" t="s">
        <v>153</v>
      </c>
      <c r="H6" s="292" t="s">
        <v>154</v>
      </c>
      <c r="I6" s="292" t="s">
        <v>155</v>
      </c>
      <c r="J6" s="292" t="s">
        <v>156</v>
      </c>
      <c r="K6" s="292" t="s">
        <v>157</v>
      </c>
    </row>
    <row r="7" spans="1:12" x14ac:dyDescent="0.25">
      <c r="A7" s="74"/>
      <c r="B7" s="74"/>
      <c r="C7" s="74"/>
      <c r="D7" s="74"/>
      <c r="E7" s="74"/>
      <c r="F7" s="74"/>
      <c r="G7" s="74"/>
      <c r="H7" s="74"/>
      <c r="I7" s="74"/>
      <c r="J7" s="74"/>
      <c r="K7" s="74"/>
      <c r="L7" s="401"/>
    </row>
    <row r="8" spans="1:12" x14ac:dyDescent="0.25">
      <c r="A8" s="74" t="s">
        <v>158</v>
      </c>
      <c r="B8" s="74" t="s">
        <v>159</v>
      </c>
      <c r="C8" s="50">
        <v>3</v>
      </c>
      <c r="D8" s="75">
        <v>18000</v>
      </c>
      <c r="E8" s="76">
        <f t="shared" ref="E8:K8" si="1">$C8*$D8*12*E$4</f>
        <v>648000</v>
      </c>
      <c r="F8" s="76">
        <f t="shared" si="1"/>
        <v>680400</v>
      </c>
      <c r="G8" s="76">
        <f t="shared" si="1"/>
        <v>714420</v>
      </c>
      <c r="H8" s="76">
        <f t="shared" si="1"/>
        <v>750141.00000000012</v>
      </c>
      <c r="I8" s="76">
        <f t="shared" si="1"/>
        <v>787648.05000000016</v>
      </c>
      <c r="J8" s="76">
        <f t="shared" si="1"/>
        <v>827030.45250000025</v>
      </c>
      <c r="K8" s="76">
        <f t="shared" si="1"/>
        <v>868381.97512500023</v>
      </c>
      <c r="L8" s="402"/>
    </row>
    <row r="9" spans="1:12" x14ac:dyDescent="0.25">
      <c r="A9" s="74" t="s">
        <v>160</v>
      </c>
      <c r="B9" s="74" t="s">
        <v>159</v>
      </c>
      <c r="C9" s="50">
        <v>3</v>
      </c>
      <c r="D9" s="75">
        <v>12000</v>
      </c>
      <c r="E9" s="76">
        <f t="shared" ref="E9:K9" si="2">$C9*$D9*12*E$4</f>
        <v>432000</v>
      </c>
      <c r="F9" s="76">
        <f t="shared" si="2"/>
        <v>453600</v>
      </c>
      <c r="G9" s="76">
        <f t="shared" si="2"/>
        <v>476280</v>
      </c>
      <c r="H9" s="76">
        <f t="shared" si="2"/>
        <v>500094.00000000006</v>
      </c>
      <c r="I9" s="76">
        <f t="shared" si="2"/>
        <v>525098.70000000007</v>
      </c>
      <c r="J9" s="76">
        <f t="shared" si="2"/>
        <v>551353.63500000013</v>
      </c>
      <c r="K9" s="76">
        <f t="shared" si="2"/>
        <v>578921.31675000023</v>
      </c>
      <c r="L9" s="402"/>
    </row>
    <row r="10" spans="1:12" x14ac:dyDescent="0.25">
      <c r="A10" s="74" t="s">
        <v>161</v>
      </c>
      <c r="B10" s="74" t="s">
        <v>159</v>
      </c>
      <c r="C10" s="50">
        <v>3</v>
      </c>
      <c r="D10" s="75">
        <v>8000</v>
      </c>
      <c r="E10" s="76">
        <f t="shared" ref="E10:K10" si="3">$C10*$D10*12*E$4</f>
        <v>288000</v>
      </c>
      <c r="F10" s="76">
        <f t="shared" si="3"/>
        <v>302400</v>
      </c>
      <c r="G10" s="76">
        <f t="shared" si="3"/>
        <v>317520</v>
      </c>
      <c r="H10" s="76">
        <f t="shared" si="3"/>
        <v>333396.00000000006</v>
      </c>
      <c r="I10" s="76">
        <f t="shared" si="3"/>
        <v>350065.80000000005</v>
      </c>
      <c r="J10" s="76">
        <f t="shared" si="3"/>
        <v>367569.09000000008</v>
      </c>
      <c r="K10" s="76">
        <f t="shared" si="3"/>
        <v>385947.54450000013</v>
      </c>
      <c r="L10" s="402"/>
    </row>
    <row r="11" spans="1:12" x14ac:dyDescent="0.25">
      <c r="A11" s="74" t="s">
        <v>162</v>
      </c>
      <c r="B11" s="74" t="s">
        <v>163</v>
      </c>
      <c r="C11" s="74">
        <v>12</v>
      </c>
      <c r="D11" s="75">
        <v>4000</v>
      </c>
      <c r="E11" s="76">
        <f t="shared" ref="E11:K11" si="4">$C11*$D11*E$4</f>
        <v>48000</v>
      </c>
      <c r="F11" s="76">
        <f t="shared" si="4"/>
        <v>50400</v>
      </c>
      <c r="G11" s="76">
        <f t="shared" si="4"/>
        <v>52920</v>
      </c>
      <c r="H11" s="76">
        <f t="shared" si="4"/>
        <v>55566.000000000007</v>
      </c>
      <c r="I11" s="76">
        <f t="shared" si="4"/>
        <v>58344.30000000001</v>
      </c>
      <c r="J11" s="76">
        <f t="shared" si="4"/>
        <v>61261.515000000014</v>
      </c>
      <c r="K11" s="76">
        <f t="shared" si="4"/>
        <v>64324.590750000018</v>
      </c>
      <c r="L11" s="402"/>
    </row>
    <row r="12" spans="1:12" x14ac:dyDescent="0.25">
      <c r="A12" s="74" t="s">
        <v>164</v>
      </c>
      <c r="B12" s="74" t="s">
        <v>163</v>
      </c>
      <c r="C12" s="74">
        <v>12</v>
      </c>
      <c r="D12" s="75">
        <v>4000</v>
      </c>
      <c r="E12" s="76">
        <f t="shared" ref="E12:K12" si="5">$C12*$D12*E$4</f>
        <v>48000</v>
      </c>
      <c r="F12" s="76">
        <f t="shared" si="5"/>
        <v>50400</v>
      </c>
      <c r="G12" s="76">
        <f t="shared" si="5"/>
        <v>52920</v>
      </c>
      <c r="H12" s="76">
        <f t="shared" si="5"/>
        <v>55566.000000000007</v>
      </c>
      <c r="I12" s="76">
        <f t="shared" si="5"/>
        <v>58344.30000000001</v>
      </c>
      <c r="J12" s="76">
        <f t="shared" si="5"/>
        <v>61261.515000000014</v>
      </c>
      <c r="K12" s="76">
        <f t="shared" si="5"/>
        <v>64324.590750000018</v>
      </c>
      <c r="L12" s="402"/>
    </row>
    <row r="13" spans="1:12" x14ac:dyDescent="0.25">
      <c r="A13" s="74" t="s">
        <v>165</v>
      </c>
      <c r="B13" s="74" t="s">
        <v>163</v>
      </c>
      <c r="C13" s="74">
        <v>12</v>
      </c>
      <c r="D13" s="75">
        <v>6000</v>
      </c>
      <c r="E13" s="76">
        <f t="shared" ref="E13:K13" si="6">$C13*$D13*E$4</f>
        <v>72000</v>
      </c>
      <c r="F13" s="76">
        <f t="shared" si="6"/>
        <v>75600</v>
      </c>
      <c r="G13" s="76">
        <f t="shared" si="6"/>
        <v>79380</v>
      </c>
      <c r="H13" s="76">
        <f t="shared" si="6"/>
        <v>83349.000000000015</v>
      </c>
      <c r="I13" s="76">
        <f t="shared" si="6"/>
        <v>87516.450000000012</v>
      </c>
      <c r="J13" s="76">
        <f t="shared" si="6"/>
        <v>91892.272500000021</v>
      </c>
      <c r="K13" s="76">
        <f t="shared" si="6"/>
        <v>96486.886125000034</v>
      </c>
      <c r="L13" s="402"/>
    </row>
    <row r="14" spans="1:12" x14ac:dyDescent="0.25">
      <c r="A14" s="74" t="s">
        <v>166</v>
      </c>
      <c r="B14" s="74" t="s">
        <v>163</v>
      </c>
      <c r="C14" s="74">
        <v>12</v>
      </c>
      <c r="D14" s="75">
        <v>0</v>
      </c>
      <c r="E14" s="76">
        <f t="shared" ref="E14:K14" si="7">$C14*$D14*E$4</f>
        <v>0</v>
      </c>
      <c r="F14" s="76">
        <f t="shared" si="7"/>
        <v>0</v>
      </c>
      <c r="G14" s="76">
        <f t="shared" si="7"/>
        <v>0</v>
      </c>
      <c r="H14" s="76">
        <f t="shared" si="7"/>
        <v>0</v>
      </c>
      <c r="I14" s="76">
        <f t="shared" si="7"/>
        <v>0</v>
      </c>
      <c r="J14" s="76">
        <f t="shared" si="7"/>
        <v>0</v>
      </c>
      <c r="K14" s="76">
        <f t="shared" si="7"/>
        <v>0</v>
      </c>
      <c r="L14" s="402"/>
    </row>
    <row r="15" spans="1:12" x14ac:dyDescent="0.25">
      <c r="A15" s="74" t="s">
        <v>167</v>
      </c>
      <c r="B15" s="74" t="s">
        <v>163</v>
      </c>
      <c r="C15" s="74">
        <v>12</v>
      </c>
      <c r="D15" s="75">
        <v>10000</v>
      </c>
      <c r="E15" s="76">
        <f t="shared" ref="E15:K15" si="8">$C15*$D15*E$4</f>
        <v>120000</v>
      </c>
      <c r="F15" s="76">
        <f t="shared" si="8"/>
        <v>126000</v>
      </c>
      <c r="G15" s="76">
        <f t="shared" si="8"/>
        <v>132300</v>
      </c>
      <c r="H15" s="76">
        <f t="shared" si="8"/>
        <v>138915.00000000003</v>
      </c>
      <c r="I15" s="76">
        <f t="shared" si="8"/>
        <v>145860.75000000003</v>
      </c>
      <c r="J15" s="76">
        <f t="shared" si="8"/>
        <v>153153.78750000003</v>
      </c>
      <c r="K15" s="76">
        <f t="shared" si="8"/>
        <v>160811.47687500005</v>
      </c>
      <c r="L15" s="402"/>
    </row>
    <row r="16" spans="1:12" x14ac:dyDescent="0.25">
      <c r="A16" s="74" t="s">
        <v>168</v>
      </c>
      <c r="B16" s="74" t="s">
        <v>169</v>
      </c>
      <c r="C16" s="74">
        <v>1</v>
      </c>
      <c r="D16" s="75">
        <v>15000</v>
      </c>
      <c r="E16" s="76">
        <f t="shared" ref="E16:K16" si="9">$D16*E$4*$C16</f>
        <v>15000</v>
      </c>
      <c r="F16" s="76">
        <f t="shared" si="9"/>
        <v>15750</v>
      </c>
      <c r="G16" s="76">
        <f t="shared" si="9"/>
        <v>16537.5</v>
      </c>
      <c r="H16" s="76">
        <f t="shared" si="9"/>
        <v>17364.375000000004</v>
      </c>
      <c r="I16" s="76">
        <f t="shared" si="9"/>
        <v>18232.593750000004</v>
      </c>
      <c r="J16" s="76">
        <f t="shared" si="9"/>
        <v>19144.223437500004</v>
      </c>
      <c r="K16" s="76">
        <f t="shared" si="9"/>
        <v>20101.434609375006</v>
      </c>
      <c r="L16" s="402"/>
    </row>
    <row r="17" spans="1:19" x14ac:dyDescent="0.25">
      <c r="A17" s="74"/>
      <c r="B17" s="74"/>
      <c r="C17" s="74"/>
      <c r="D17" s="75"/>
      <c r="E17" s="76">
        <f t="shared" ref="E17:K17" si="10">$D17*E$4*$C17</f>
        <v>0</v>
      </c>
      <c r="F17" s="76">
        <f t="shared" si="10"/>
        <v>0</v>
      </c>
      <c r="G17" s="76">
        <f t="shared" si="10"/>
        <v>0</v>
      </c>
      <c r="H17" s="76">
        <f t="shared" si="10"/>
        <v>0</v>
      </c>
      <c r="I17" s="76">
        <f t="shared" si="10"/>
        <v>0</v>
      </c>
      <c r="J17" s="76">
        <f t="shared" si="10"/>
        <v>0</v>
      </c>
      <c r="K17" s="76">
        <f t="shared" si="10"/>
        <v>0</v>
      </c>
      <c r="L17" s="402"/>
    </row>
    <row r="18" spans="1:19" x14ac:dyDescent="0.25">
      <c r="A18" s="74"/>
      <c r="B18" s="74"/>
      <c r="C18" s="74"/>
      <c r="D18" s="75"/>
      <c r="E18" s="76">
        <f t="shared" ref="E18:K18" si="11">$D18*E$4*$C18</f>
        <v>0</v>
      </c>
      <c r="F18" s="76">
        <f t="shared" si="11"/>
        <v>0</v>
      </c>
      <c r="G18" s="76">
        <f t="shared" si="11"/>
        <v>0</v>
      </c>
      <c r="H18" s="76">
        <f t="shared" si="11"/>
        <v>0</v>
      </c>
      <c r="I18" s="76">
        <f t="shared" si="11"/>
        <v>0</v>
      </c>
      <c r="J18" s="76">
        <f t="shared" si="11"/>
        <v>0</v>
      </c>
      <c r="K18" s="76">
        <f t="shared" si="11"/>
        <v>0</v>
      </c>
      <c r="L18" s="402"/>
    </row>
    <row r="19" spans="1:19" x14ac:dyDescent="0.25">
      <c r="A19" s="74"/>
      <c r="B19" s="74"/>
      <c r="C19" s="74"/>
      <c r="D19" s="75"/>
      <c r="E19" s="76">
        <f t="shared" ref="E19:K19" si="12">$D19*E$4*$C19</f>
        <v>0</v>
      </c>
      <c r="F19" s="76">
        <f t="shared" si="12"/>
        <v>0</v>
      </c>
      <c r="G19" s="76">
        <f t="shared" si="12"/>
        <v>0</v>
      </c>
      <c r="H19" s="76">
        <f t="shared" si="12"/>
        <v>0</v>
      </c>
      <c r="I19" s="76">
        <f t="shared" si="12"/>
        <v>0</v>
      </c>
      <c r="J19" s="76">
        <f t="shared" si="12"/>
        <v>0</v>
      </c>
      <c r="K19" s="76">
        <f t="shared" si="12"/>
        <v>0</v>
      </c>
      <c r="L19" s="402"/>
    </row>
    <row r="20" spans="1:19" x14ac:dyDescent="0.25">
      <c r="A20" s="74"/>
      <c r="B20" s="74"/>
      <c r="C20" s="74"/>
      <c r="D20" s="75"/>
      <c r="E20" s="76">
        <f t="shared" ref="E20:K20" si="13">$D20*E$4*$C20</f>
        <v>0</v>
      </c>
      <c r="F20" s="76">
        <f t="shared" si="13"/>
        <v>0</v>
      </c>
      <c r="G20" s="76">
        <f t="shared" si="13"/>
        <v>0</v>
      </c>
      <c r="H20" s="76">
        <f t="shared" si="13"/>
        <v>0</v>
      </c>
      <c r="I20" s="76">
        <f t="shared" si="13"/>
        <v>0</v>
      </c>
      <c r="J20" s="76">
        <f t="shared" si="13"/>
        <v>0</v>
      </c>
      <c r="K20" s="76">
        <f t="shared" si="13"/>
        <v>0</v>
      </c>
      <c r="L20" s="402"/>
    </row>
    <row r="21" spans="1:19" ht="15.75" customHeight="1" x14ac:dyDescent="0.25">
      <c r="A21" s="74"/>
      <c r="B21" s="74"/>
      <c r="C21" s="74"/>
      <c r="D21" s="75"/>
      <c r="E21" s="76">
        <f t="shared" ref="E21:K21" si="14">$D21*E$4*$C21</f>
        <v>0</v>
      </c>
      <c r="F21" s="76">
        <f t="shared" si="14"/>
        <v>0</v>
      </c>
      <c r="G21" s="76">
        <f t="shared" si="14"/>
        <v>0</v>
      </c>
      <c r="H21" s="76">
        <f t="shared" si="14"/>
        <v>0</v>
      </c>
      <c r="I21" s="76">
        <f t="shared" si="14"/>
        <v>0</v>
      </c>
      <c r="J21" s="76">
        <f t="shared" si="14"/>
        <v>0</v>
      </c>
      <c r="K21" s="76">
        <f t="shared" si="14"/>
        <v>0</v>
      </c>
      <c r="L21" s="402"/>
    </row>
    <row r="22" spans="1:19" ht="15.75" customHeight="1" x14ac:dyDescent="0.25">
      <c r="A22" s="74"/>
      <c r="B22" s="74"/>
      <c r="C22" s="74"/>
      <c r="D22" s="76"/>
      <c r="E22" s="76">
        <f t="shared" ref="E22:K22" si="15">$D22*E$4*$C22</f>
        <v>0</v>
      </c>
      <c r="F22" s="76">
        <f t="shared" si="15"/>
        <v>0</v>
      </c>
      <c r="G22" s="76">
        <f t="shared" si="15"/>
        <v>0</v>
      </c>
      <c r="H22" s="76">
        <f t="shared" si="15"/>
        <v>0</v>
      </c>
      <c r="I22" s="76">
        <f t="shared" si="15"/>
        <v>0</v>
      </c>
      <c r="J22" s="76">
        <f t="shared" si="15"/>
        <v>0</v>
      </c>
      <c r="K22" s="76">
        <f t="shared" si="15"/>
        <v>0</v>
      </c>
      <c r="L22" s="402"/>
    </row>
    <row r="23" spans="1:19" ht="15.75" customHeight="1" x14ac:dyDescent="0.25">
      <c r="A23" s="77" t="s">
        <v>170</v>
      </c>
      <c r="B23" s="77"/>
      <c r="C23" s="77"/>
      <c r="D23" s="78"/>
      <c r="E23" s="78">
        <f t="shared" ref="E23:K23" si="16">SUM(E8:E22)</f>
        <v>1671000</v>
      </c>
      <c r="F23" s="78">
        <f t="shared" si="16"/>
        <v>1754550</v>
      </c>
      <c r="G23" s="78">
        <f t="shared" si="16"/>
        <v>1842277.5</v>
      </c>
      <c r="H23" s="78">
        <f t="shared" si="16"/>
        <v>1934391.3750000002</v>
      </c>
      <c r="I23" s="78">
        <f t="shared" si="16"/>
        <v>2031110.9437500003</v>
      </c>
      <c r="J23" s="78">
        <f t="shared" si="16"/>
        <v>2132666.4909375007</v>
      </c>
      <c r="K23" s="78">
        <f t="shared" si="16"/>
        <v>2239299.8154843757</v>
      </c>
      <c r="L23" s="403"/>
    </row>
    <row r="24" spans="1:19" ht="15.75" customHeight="1" x14ac:dyDescent="0.25"/>
    <row r="25" spans="1:19" ht="15.75" hidden="1" customHeight="1" x14ac:dyDescent="0.25"/>
    <row r="26" spans="1:19" ht="15.75" hidden="1" customHeight="1" x14ac:dyDescent="0.25"/>
    <row r="27" spans="1:19" ht="15.75" hidden="1" customHeight="1" x14ac:dyDescent="0.25"/>
    <row r="28" spans="1:19" ht="15.75" customHeight="1" x14ac:dyDescent="0.25">
      <c r="A28" s="295"/>
    </row>
    <row r="29" spans="1:19" ht="15.75" customHeight="1" x14ac:dyDescent="0.3">
      <c r="A29" s="296" t="s">
        <v>171</v>
      </c>
    </row>
    <row r="30" spans="1:19" ht="15.75" customHeight="1" x14ac:dyDescent="0.25">
      <c r="A30" s="289"/>
      <c r="B30" s="289"/>
      <c r="C30" s="289"/>
      <c r="D30" s="289"/>
      <c r="E30" s="289"/>
      <c r="F30" s="289"/>
      <c r="G30" s="289"/>
      <c r="H30" s="289"/>
      <c r="I30" s="289"/>
      <c r="J30" s="289"/>
      <c r="K30" s="333"/>
      <c r="L30" s="333"/>
      <c r="M30" s="289"/>
      <c r="N30" s="289"/>
      <c r="O30" s="289"/>
      <c r="P30" s="79"/>
      <c r="Q30" s="79"/>
    </row>
    <row r="31" spans="1:19" ht="15.75" customHeight="1" x14ac:dyDescent="0.25">
      <c r="A31" s="69"/>
      <c r="B31" s="69"/>
      <c r="C31" s="297" t="s">
        <v>172</v>
      </c>
      <c r="D31" s="298"/>
      <c r="E31" s="298"/>
      <c r="F31" s="298"/>
      <c r="G31" s="298"/>
      <c r="H31" s="298"/>
      <c r="I31" s="298"/>
      <c r="J31" s="400"/>
      <c r="K31" s="400"/>
      <c r="L31" s="400"/>
      <c r="M31" s="299" t="s">
        <v>173</v>
      </c>
      <c r="N31" s="298"/>
      <c r="O31" s="298"/>
      <c r="P31" s="298"/>
      <c r="Q31" s="298"/>
      <c r="R31" s="298"/>
      <c r="S31" s="298"/>
    </row>
    <row r="32" spans="1:19" ht="15.75" customHeight="1" x14ac:dyDescent="0.25">
      <c r="A32" s="72" t="s">
        <v>148</v>
      </c>
      <c r="B32" s="80"/>
      <c r="C32" s="81" t="s">
        <v>151</v>
      </c>
      <c r="D32" s="81" t="s">
        <v>152</v>
      </c>
      <c r="E32" s="81" t="s">
        <v>153</v>
      </c>
      <c r="F32" s="81" t="s">
        <v>154</v>
      </c>
      <c r="G32" s="81" t="s">
        <v>155</v>
      </c>
      <c r="H32" s="81" t="s">
        <v>156</v>
      </c>
      <c r="I32" s="81" t="s">
        <v>157</v>
      </c>
      <c r="J32" s="82"/>
      <c r="K32" s="74"/>
      <c r="L32" s="72" t="s">
        <v>148</v>
      </c>
      <c r="M32" s="81" t="s">
        <v>151</v>
      </c>
      <c r="N32" s="81" t="s">
        <v>152</v>
      </c>
      <c r="O32" s="81" t="s">
        <v>153</v>
      </c>
      <c r="P32" s="81" t="s">
        <v>154</v>
      </c>
      <c r="Q32" s="81" t="s">
        <v>155</v>
      </c>
      <c r="R32" s="81" t="s">
        <v>156</v>
      </c>
      <c r="S32" s="81" t="s">
        <v>157</v>
      </c>
    </row>
    <row r="33" spans="1:19" ht="15.75" customHeight="1" x14ac:dyDescent="0.25">
      <c r="A33" s="83" t="s">
        <v>174</v>
      </c>
      <c r="B33" s="74"/>
      <c r="C33" s="74"/>
      <c r="D33" s="74"/>
      <c r="E33" s="74"/>
      <c r="F33" s="74"/>
      <c r="G33" s="84"/>
      <c r="H33" s="84"/>
      <c r="I33" s="84"/>
      <c r="J33" s="74"/>
      <c r="K33" s="74"/>
      <c r="L33" s="83" t="s">
        <v>174</v>
      </c>
      <c r="M33" s="74"/>
      <c r="N33" s="74"/>
      <c r="O33" s="74"/>
      <c r="P33" s="74"/>
      <c r="Q33" s="84"/>
      <c r="R33" s="84"/>
      <c r="S33" s="84"/>
    </row>
    <row r="34" spans="1:19" ht="15.75" hidden="1" customHeight="1" x14ac:dyDescent="0.25">
      <c r="A34" s="83"/>
      <c r="B34" s="74"/>
      <c r="C34" s="74"/>
      <c r="D34" s="74"/>
      <c r="E34" s="74"/>
      <c r="F34" s="74"/>
      <c r="G34" s="84"/>
      <c r="H34" s="84"/>
      <c r="I34" s="84"/>
      <c r="J34" s="74"/>
      <c r="K34" s="74"/>
      <c r="L34" s="83"/>
      <c r="M34" s="74"/>
      <c r="N34" s="74"/>
      <c r="O34" s="74"/>
      <c r="P34" s="74"/>
      <c r="Q34" s="84"/>
      <c r="R34" s="84"/>
      <c r="S34" s="84"/>
    </row>
    <row r="35" spans="1:19" ht="15.75" customHeight="1" x14ac:dyDescent="0.25">
      <c r="A35" s="85"/>
      <c r="B35" s="85"/>
      <c r="C35" s="74"/>
      <c r="D35" s="74"/>
      <c r="E35" s="74"/>
      <c r="F35" s="74"/>
      <c r="G35" s="74"/>
      <c r="H35" s="74"/>
      <c r="I35" s="74"/>
      <c r="J35" s="74"/>
      <c r="K35" s="74"/>
      <c r="L35" s="85"/>
      <c r="M35" s="74"/>
      <c r="N35" s="74"/>
      <c r="O35" s="74"/>
      <c r="P35" s="74"/>
      <c r="Q35" s="74"/>
      <c r="R35" s="74"/>
      <c r="S35" s="74"/>
    </row>
    <row r="36" spans="1:19" ht="15.75" customHeight="1" x14ac:dyDescent="0.25">
      <c r="A36" s="86" t="s">
        <v>175</v>
      </c>
      <c r="B36" s="86"/>
      <c r="C36" s="74"/>
      <c r="D36" s="74"/>
      <c r="E36" s="74"/>
      <c r="F36" s="74"/>
      <c r="G36" s="74"/>
      <c r="H36" s="74"/>
      <c r="I36" s="74"/>
      <c r="J36" s="74"/>
      <c r="K36" s="74"/>
      <c r="L36" s="86" t="s">
        <v>175</v>
      </c>
      <c r="M36" s="74"/>
      <c r="N36" s="74"/>
      <c r="O36" s="74"/>
      <c r="P36" s="74"/>
      <c r="Q36" s="74"/>
      <c r="R36" s="74"/>
      <c r="S36" s="74"/>
    </row>
    <row r="37" spans="1:19" ht="15.75" customHeight="1" x14ac:dyDescent="0.25">
      <c r="A37" s="85" t="s">
        <v>176</v>
      </c>
      <c r="B37" s="85"/>
      <c r="C37" s="87">
        <f>'1.Project Cost and MOF'!D5</f>
        <v>8688690</v>
      </c>
      <c r="D37" s="87">
        <f t="shared" ref="D37:I37" si="17">C40</f>
        <v>8413258.5270000007</v>
      </c>
      <c r="E37" s="87">
        <f t="shared" si="17"/>
        <v>8137827.0540000005</v>
      </c>
      <c r="F37" s="87">
        <f t="shared" si="17"/>
        <v>7862395.5810000002</v>
      </c>
      <c r="G37" s="87">
        <f t="shared" si="17"/>
        <v>7586964.108</v>
      </c>
      <c r="H37" s="87">
        <f t="shared" si="17"/>
        <v>7311532.6349999998</v>
      </c>
      <c r="I37" s="87">
        <f t="shared" si="17"/>
        <v>7036101.1619999995</v>
      </c>
      <c r="J37" s="74"/>
      <c r="K37" s="74"/>
      <c r="L37" s="85" t="s">
        <v>176</v>
      </c>
      <c r="M37" s="87">
        <f>C37</f>
        <v>8688690</v>
      </c>
      <c r="N37" s="87">
        <f t="shared" ref="N37:S37" si="18">M40</f>
        <v>7819821</v>
      </c>
      <c r="O37" s="87">
        <f t="shared" si="18"/>
        <v>7037838.9000000004</v>
      </c>
      <c r="P37" s="87">
        <f t="shared" si="18"/>
        <v>6334055.0099999998</v>
      </c>
      <c r="Q37" s="87">
        <f t="shared" si="18"/>
        <v>5700649.5089999996</v>
      </c>
      <c r="R37" s="87">
        <f t="shared" si="18"/>
        <v>5130584.5581</v>
      </c>
      <c r="S37" s="87">
        <f t="shared" si="18"/>
        <v>4617526.1022899998</v>
      </c>
    </row>
    <row r="38" spans="1:19" ht="15.75" customHeight="1" x14ac:dyDescent="0.25">
      <c r="A38" s="85" t="s">
        <v>177</v>
      </c>
      <c r="B38" s="85"/>
      <c r="C38" s="87">
        <f>$C$37*$B$74</f>
        <v>275431.473</v>
      </c>
      <c r="D38" s="87">
        <f t="shared" ref="D38:I38" si="19">$C$37*$B$74</f>
        <v>275431.473</v>
      </c>
      <c r="E38" s="87">
        <f t="shared" si="19"/>
        <v>275431.473</v>
      </c>
      <c r="F38" s="87">
        <f t="shared" si="19"/>
        <v>275431.473</v>
      </c>
      <c r="G38" s="87">
        <f t="shared" si="19"/>
        <v>275431.473</v>
      </c>
      <c r="H38" s="87">
        <f t="shared" si="19"/>
        <v>275431.473</v>
      </c>
      <c r="I38" s="87">
        <f t="shared" si="19"/>
        <v>275431.473</v>
      </c>
      <c r="J38" s="74"/>
      <c r="K38" s="74"/>
      <c r="L38" s="85" t="s">
        <v>177</v>
      </c>
      <c r="M38" s="87">
        <f t="shared" ref="M38:S38" si="20">M37*$C$74</f>
        <v>868869</v>
      </c>
      <c r="N38" s="87">
        <f t="shared" si="20"/>
        <v>781982.10000000009</v>
      </c>
      <c r="O38" s="87">
        <f t="shared" si="20"/>
        <v>703783.89000000013</v>
      </c>
      <c r="P38" s="87">
        <f t="shared" si="20"/>
        <v>633405.50100000005</v>
      </c>
      <c r="Q38" s="87">
        <f t="shared" si="20"/>
        <v>570064.95089999994</v>
      </c>
      <c r="R38" s="87">
        <f t="shared" si="20"/>
        <v>513058.45581000001</v>
      </c>
      <c r="S38" s="87">
        <f t="shared" si="20"/>
        <v>461752.61022899998</v>
      </c>
    </row>
    <row r="39" spans="1:19" ht="15.75" customHeight="1" x14ac:dyDescent="0.25">
      <c r="A39" s="85" t="s">
        <v>178</v>
      </c>
      <c r="B39" s="85"/>
      <c r="C39" s="87">
        <f>C38</f>
        <v>275431.473</v>
      </c>
      <c r="D39" s="87">
        <f t="shared" ref="D39:I39" si="21">C39+D38</f>
        <v>550862.946</v>
      </c>
      <c r="E39" s="87">
        <f t="shared" si="21"/>
        <v>826294.41899999999</v>
      </c>
      <c r="F39" s="87">
        <f t="shared" si="21"/>
        <v>1101725.892</v>
      </c>
      <c r="G39" s="87">
        <f t="shared" si="21"/>
        <v>1377157.365</v>
      </c>
      <c r="H39" s="87">
        <f t="shared" si="21"/>
        <v>1652588.838</v>
      </c>
      <c r="I39" s="87">
        <f t="shared" si="21"/>
        <v>1928020.311</v>
      </c>
      <c r="J39" s="74"/>
      <c r="K39" s="74"/>
      <c r="L39" s="85" t="s">
        <v>178</v>
      </c>
      <c r="M39" s="87">
        <f>M38</f>
        <v>868869</v>
      </c>
      <c r="N39" s="87">
        <f t="shared" ref="N39:S39" si="22">M39+N38</f>
        <v>1650851.1</v>
      </c>
      <c r="O39" s="87">
        <f t="shared" si="22"/>
        <v>2354634.9900000002</v>
      </c>
      <c r="P39" s="87">
        <f t="shared" si="22"/>
        <v>2988040.4910000004</v>
      </c>
      <c r="Q39" s="87">
        <f t="shared" si="22"/>
        <v>3558105.4419000004</v>
      </c>
      <c r="R39" s="87">
        <f t="shared" si="22"/>
        <v>4071163.8977100006</v>
      </c>
      <c r="S39" s="87">
        <f t="shared" si="22"/>
        <v>4532916.5079390006</v>
      </c>
    </row>
    <row r="40" spans="1:19" ht="15.75" customHeight="1" x14ac:dyDescent="0.25">
      <c r="A40" s="85" t="s">
        <v>179</v>
      </c>
      <c r="B40" s="85"/>
      <c r="C40" s="87">
        <f t="shared" ref="C40:I40" si="23">C37-C38</f>
        <v>8413258.5270000007</v>
      </c>
      <c r="D40" s="87">
        <f t="shared" si="23"/>
        <v>8137827.0540000005</v>
      </c>
      <c r="E40" s="87">
        <f t="shared" si="23"/>
        <v>7862395.5810000002</v>
      </c>
      <c r="F40" s="87">
        <f t="shared" si="23"/>
        <v>7586964.108</v>
      </c>
      <c r="G40" s="87">
        <f t="shared" si="23"/>
        <v>7311532.6349999998</v>
      </c>
      <c r="H40" s="87">
        <f t="shared" si="23"/>
        <v>7036101.1619999995</v>
      </c>
      <c r="I40" s="87">
        <f t="shared" si="23"/>
        <v>6760669.6889999993</v>
      </c>
      <c r="J40" s="74"/>
      <c r="K40" s="74"/>
      <c r="L40" s="85" t="s">
        <v>179</v>
      </c>
      <c r="M40" s="87">
        <f t="shared" ref="M40:S40" si="24">M37-M38</f>
        <v>7819821</v>
      </c>
      <c r="N40" s="87">
        <f t="shared" si="24"/>
        <v>7037838.9000000004</v>
      </c>
      <c r="O40" s="87">
        <f t="shared" si="24"/>
        <v>6334055.0099999998</v>
      </c>
      <c r="P40" s="87">
        <f t="shared" si="24"/>
        <v>5700649.5089999996</v>
      </c>
      <c r="Q40" s="87">
        <f t="shared" si="24"/>
        <v>5130584.5581</v>
      </c>
      <c r="R40" s="87">
        <f t="shared" si="24"/>
        <v>4617526.1022899998</v>
      </c>
      <c r="S40" s="87">
        <f t="shared" si="24"/>
        <v>4155773.4920609999</v>
      </c>
    </row>
    <row r="41" spans="1:19" ht="15.75" customHeight="1" x14ac:dyDescent="0.25">
      <c r="A41" s="85"/>
      <c r="B41" s="85"/>
      <c r="C41" s="87"/>
      <c r="D41" s="87"/>
      <c r="E41" s="87"/>
      <c r="F41" s="87"/>
      <c r="G41" s="87"/>
      <c r="H41" s="87"/>
      <c r="I41" s="87"/>
      <c r="J41" s="74"/>
      <c r="K41" s="74"/>
      <c r="L41" s="85"/>
      <c r="M41" s="87"/>
      <c r="N41" s="87"/>
      <c r="O41" s="87"/>
      <c r="P41" s="87"/>
      <c r="Q41" s="87"/>
      <c r="R41" s="87"/>
      <c r="S41" s="87"/>
    </row>
    <row r="42" spans="1:19" ht="15.75" customHeight="1" x14ac:dyDescent="0.25">
      <c r="A42" s="86" t="s">
        <v>180</v>
      </c>
      <c r="B42" s="86"/>
      <c r="C42" s="87"/>
      <c r="D42" s="87"/>
      <c r="E42" s="87"/>
      <c r="F42" s="87"/>
      <c r="G42" s="87"/>
      <c r="H42" s="87"/>
      <c r="I42" s="87"/>
      <c r="J42" s="74"/>
      <c r="K42" s="74"/>
      <c r="L42" s="86" t="s">
        <v>180</v>
      </c>
      <c r="M42" s="87"/>
      <c r="N42" s="87"/>
      <c r="O42" s="87"/>
      <c r="P42" s="87"/>
      <c r="Q42" s="87"/>
      <c r="R42" s="87"/>
      <c r="S42" s="87"/>
    </row>
    <row r="43" spans="1:19" ht="15.75" customHeight="1" x14ac:dyDescent="0.25">
      <c r="A43" s="85" t="s">
        <v>176</v>
      </c>
      <c r="B43" s="85"/>
      <c r="C43" s="87">
        <f>'1.Project Cost and MOF'!D6</f>
        <v>13887229.08</v>
      </c>
      <c r="D43" s="87">
        <f t="shared" ref="D43:I43" si="25">C46</f>
        <v>13008167.479235999</v>
      </c>
      <c r="E43" s="87">
        <f t="shared" si="25"/>
        <v>12129105.878471998</v>
      </c>
      <c r="F43" s="87">
        <f t="shared" si="25"/>
        <v>11250044.277707998</v>
      </c>
      <c r="G43" s="87">
        <f t="shared" si="25"/>
        <v>10370982.676943997</v>
      </c>
      <c r="H43" s="87">
        <f t="shared" si="25"/>
        <v>9491921.0761799961</v>
      </c>
      <c r="I43" s="87">
        <f t="shared" si="25"/>
        <v>8612859.4754159953</v>
      </c>
      <c r="J43" s="74"/>
      <c r="K43" s="74"/>
      <c r="L43" s="85" t="s">
        <v>176</v>
      </c>
      <c r="M43" s="87">
        <f>C43</f>
        <v>13887229.08</v>
      </c>
      <c r="N43" s="87">
        <f t="shared" ref="N43:S43" si="26">M46</f>
        <v>11804144.718</v>
      </c>
      <c r="O43" s="87">
        <f t="shared" si="26"/>
        <v>10033523.010300001</v>
      </c>
      <c r="P43" s="87">
        <f t="shared" si="26"/>
        <v>8528494.5587550011</v>
      </c>
      <c r="Q43" s="87">
        <f t="shared" si="26"/>
        <v>7249220.3749417514</v>
      </c>
      <c r="R43" s="87">
        <f t="shared" si="26"/>
        <v>6161837.3187004887</v>
      </c>
      <c r="S43" s="87">
        <f t="shared" si="26"/>
        <v>5237561.7208954152</v>
      </c>
    </row>
    <row r="44" spans="1:19" ht="15.75" customHeight="1" x14ac:dyDescent="0.25">
      <c r="A44" s="85" t="s">
        <v>177</v>
      </c>
      <c r="B44" s="85"/>
      <c r="C44" s="87">
        <f t="shared" ref="C44:I44" si="27">$C$43*$B$78</f>
        <v>879061.60076399997</v>
      </c>
      <c r="D44" s="87">
        <f t="shared" si="27"/>
        <v>879061.60076399997</v>
      </c>
      <c r="E44" s="87">
        <f t="shared" si="27"/>
        <v>879061.60076399997</v>
      </c>
      <c r="F44" s="87">
        <f t="shared" si="27"/>
        <v>879061.60076399997</v>
      </c>
      <c r="G44" s="87">
        <f t="shared" si="27"/>
        <v>879061.60076399997</v>
      </c>
      <c r="H44" s="87">
        <f t="shared" si="27"/>
        <v>879061.60076399997</v>
      </c>
      <c r="I44" s="87">
        <f t="shared" si="27"/>
        <v>879061.60076399997</v>
      </c>
      <c r="J44" s="74"/>
      <c r="K44" s="74"/>
      <c r="L44" s="85" t="s">
        <v>177</v>
      </c>
      <c r="M44" s="87">
        <f t="shared" ref="M44:S44" si="28">M43*$C$78</f>
        <v>2083084.362</v>
      </c>
      <c r="N44" s="87">
        <f t="shared" si="28"/>
        <v>1770621.7076999999</v>
      </c>
      <c r="O44" s="87">
        <f t="shared" si="28"/>
        <v>1505028.4515450001</v>
      </c>
      <c r="P44" s="87">
        <f t="shared" si="28"/>
        <v>1279274.1838132502</v>
      </c>
      <c r="Q44" s="87">
        <f t="shared" si="28"/>
        <v>1087383.0562412627</v>
      </c>
      <c r="R44" s="87">
        <f t="shared" si="28"/>
        <v>924275.59780507325</v>
      </c>
      <c r="S44" s="87">
        <f t="shared" si="28"/>
        <v>785634.25813431223</v>
      </c>
    </row>
    <row r="45" spans="1:19" ht="15.75" customHeight="1" x14ac:dyDescent="0.25">
      <c r="A45" s="85" t="s">
        <v>178</v>
      </c>
      <c r="B45" s="85"/>
      <c r="C45" s="87">
        <f>C44</f>
        <v>879061.60076399997</v>
      </c>
      <c r="D45" s="87">
        <f t="shared" ref="D45:I45" si="29">C45+D44</f>
        <v>1758123.2015279999</v>
      </c>
      <c r="E45" s="87">
        <f t="shared" si="29"/>
        <v>2637184.802292</v>
      </c>
      <c r="F45" s="87">
        <f t="shared" si="29"/>
        <v>3516246.4030559999</v>
      </c>
      <c r="G45" s="87">
        <f t="shared" si="29"/>
        <v>4395308.0038200002</v>
      </c>
      <c r="H45" s="87">
        <f t="shared" si="29"/>
        <v>5274369.6045840001</v>
      </c>
      <c r="I45" s="87">
        <f t="shared" si="29"/>
        <v>6153431.2053479999</v>
      </c>
      <c r="J45" s="74"/>
      <c r="K45" s="74"/>
      <c r="L45" s="85" t="s">
        <v>178</v>
      </c>
      <c r="M45" s="87">
        <f>M44</f>
        <v>2083084.362</v>
      </c>
      <c r="N45" s="87">
        <f t="shared" ref="N45:S45" si="30">M45+N44</f>
        <v>3853706.0696999999</v>
      </c>
      <c r="O45" s="87">
        <f t="shared" si="30"/>
        <v>5358734.521245</v>
      </c>
      <c r="P45" s="87">
        <f t="shared" si="30"/>
        <v>6638008.7050582506</v>
      </c>
      <c r="Q45" s="87">
        <f t="shared" si="30"/>
        <v>7725391.7612995133</v>
      </c>
      <c r="R45" s="87">
        <f t="shared" si="30"/>
        <v>8649667.3591045868</v>
      </c>
      <c r="S45" s="87">
        <f t="shared" si="30"/>
        <v>9435301.6172388997</v>
      </c>
    </row>
    <row r="46" spans="1:19" ht="15.75" customHeight="1" x14ac:dyDescent="0.25">
      <c r="A46" s="85" t="s">
        <v>179</v>
      </c>
      <c r="B46" s="85"/>
      <c r="C46" s="87">
        <f t="shared" ref="C46:I46" si="31">C43-C44</f>
        <v>13008167.479235999</v>
      </c>
      <c r="D46" s="87">
        <f t="shared" si="31"/>
        <v>12129105.878471998</v>
      </c>
      <c r="E46" s="87">
        <f t="shared" si="31"/>
        <v>11250044.277707998</v>
      </c>
      <c r="F46" s="87">
        <f t="shared" si="31"/>
        <v>10370982.676943997</v>
      </c>
      <c r="G46" s="87">
        <f t="shared" si="31"/>
        <v>9491921.0761799961</v>
      </c>
      <c r="H46" s="87">
        <f t="shared" si="31"/>
        <v>8612859.4754159953</v>
      </c>
      <c r="I46" s="87">
        <f t="shared" si="31"/>
        <v>7733797.8746519955</v>
      </c>
      <c r="J46" s="74"/>
      <c r="K46" s="74"/>
      <c r="L46" s="85" t="s">
        <v>179</v>
      </c>
      <c r="M46" s="87">
        <f t="shared" ref="M46:S46" si="32">M43-M44</f>
        <v>11804144.718</v>
      </c>
      <c r="N46" s="87">
        <f t="shared" si="32"/>
        <v>10033523.010300001</v>
      </c>
      <c r="O46" s="87">
        <f t="shared" si="32"/>
        <v>8528494.5587550011</v>
      </c>
      <c r="P46" s="87">
        <f t="shared" si="32"/>
        <v>7249220.3749417514</v>
      </c>
      <c r="Q46" s="87">
        <f t="shared" si="32"/>
        <v>6161837.3187004887</v>
      </c>
      <c r="R46" s="87">
        <f t="shared" si="32"/>
        <v>5237561.7208954152</v>
      </c>
      <c r="S46" s="87">
        <f t="shared" si="32"/>
        <v>4451927.4627611032</v>
      </c>
    </row>
    <row r="47" spans="1:19" ht="15.75" customHeight="1" x14ac:dyDescent="0.25">
      <c r="A47" s="85"/>
      <c r="B47" s="85"/>
      <c r="C47" s="87"/>
      <c r="D47" s="87"/>
      <c r="E47" s="87"/>
      <c r="F47" s="87"/>
      <c r="G47" s="87"/>
      <c r="H47" s="87"/>
      <c r="I47" s="87"/>
      <c r="J47" s="74"/>
      <c r="K47" s="74"/>
      <c r="L47" s="85"/>
      <c r="M47" s="87"/>
      <c r="N47" s="87"/>
      <c r="O47" s="87"/>
      <c r="P47" s="87"/>
      <c r="Q47" s="87"/>
      <c r="R47" s="87"/>
      <c r="S47" s="87"/>
    </row>
    <row r="48" spans="1:19" ht="15.75" customHeight="1" x14ac:dyDescent="0.25">
      <c r="A48" s="86" t="s">
        <v>181</v>
      </c>
      <c r="B48" s="86"/>
      <c r="C48" s="87"/>
      <c r="D48" s="87"/>
      <c r="E48" s="87"/>
      <c r="F48" s="87"/>
      <c r="G48" s="87"/>
      <c r="H48" s="87"/>
      <c r="I48" s="87"/>
      <c r="J48" s="74"/>
      <c r="K48" s="74"/>
      <c r="L48" s="86" t="s">
        <v>181</v>
      </c>
      <c r="M48" s="87"/>
      <c r="N48" s="87"/>
      <c r="O48" s="87"/>
      <c r="P48" s="87"/>
      <c r="Q48" s="87"/>
      <c r="R48" s="87"/>
      <c r="S48" s="87"/>
    </row>
    <row r="49" spans="1:19" ht="15.75" customHeight="1" x14ac:dyDescent="0.25">
      <c r="A49" s="85" t="s">
        <v>176</v>
      </c>
      <c r="B49" s="85"/>
      <c r="C49" s="87">
        <f>'1.Project Cost and MOF'!D7</f>
        <v>200000</v>
      </c>
      <c r="D49" s="87">
        <f t="shared" ref="D49:I49" si="33">C52</f>
        <v>180000</v>
      </c>
      <c r="E49" s="87">
        <f t="shared" si="33"/>
        <v>160000</v>
      </c>
      <c r="F49" s="87">
        <f t="shared" si="33"/>
        <v>140000</v>
      </c>
      <c r="G49" s="87">
        <f t="shared" si="33"/>
        <v>120000</v>
      </c>
      <c r="H49" s="87">
        <f t="shared" si="33"/>
        <v>100000</v>
      </c>
      <c r="I49" s="87">
        <f t="shared" si="33"/>
        <v>80000</v>
      </c>
      <c r="J49" s="74"/>
      <c r="K49" s="74"/>
      <c r="L49" s="85" t="s">
        <v>176</v>
      </c>
      <c r="M49" s="87">
        <f>C49</f>
        <v>200000</v>
      </c>
      <c r="N49" s="87">
        <f t="shared" ref="N49:S49" si="34">M52</f>
        <v>180000</v>
      </c>
      <c r="O49" s="87">
        <f t="shared" si="34"/>
        <v>162000</v>
      </c>
      <c r="P49" s="87">
        <f t="shared" si="34"/>
        <v>145800</v>
      </c>
      <c r="Q49" s="87">
        <f t="shared" si="34"/>
        <v>131220</v>
      </c>
      <c r="R49" s="87">
        <f t="shared" si="34"/>
        <v>118098</v>
      </c>
      <c r="S49" s="87">
        <f t="shared" si="34"/>
        <v>106288.2</v>
      </c>
    </row>
    <row r="50" spans="1:19" ht="15.75" customHeight="1" x14ac:dyDescent="0.25">
      <c r="A50" s="85" t="s">
        <v>177</v>
      </c>
      <c r="B50" s="85"/>
      <c r="C50" s="87">
        <f t="shared" ref="C50:I50" si="35">$C$49*$B$75</f>
        <v>20000</v>
      </c>
      <c r="D50" s="87">
        <f t="shared" si="35"/>
        <v>20000</v>
      </c>
      <c r="E50" s="87">
        <f t="shared" si="35"/>
        <v>20000</v>
      </c>
      <c r="F50" s="87">
        <f t="shared" si="35"/>
        <v>20000</v>
      </c>
      <c r="G50" s="87">
        <f t="shared" si="35"/>
        <v>20000</v>
      </c>
      <c r="H50" s="87">
        <f t="shared" si="35"/>
        <v>20000</v>
      </c>
      <c r="I50" s="87">
        <f t="shared" si="35"/>
        <v>20000</v>
      </c>
      <c r="J50" s="74"/>
      <c r="K50" s="74"/>
      <c r="L50" s="85" t="s">
        <v>177</v>
      </c>
      <c r="M50" s="87">
        <f t="shared" ref="M50:S50" si="36">M49*$C$75</f>
        <v>20000</v>
      </c>
      <c r="N50" s="87">
        <f t="shared" si="36"/>
        <v>18000</v>
      </c>
      <c r="O50" s="87">
        <f t="shared" si="36"/>
        <v>16200</v>
      </c>
      <c r="P50" s="87">
        <f t="shared" si="36"/>
        <v>14580</v>
      </c>
      <c r="Q50" s="87">
        <f t="shared" si="36"/>
        <v>13122</v>
      </c>
      <c r="R50" s="87">
        <f t="shared" si="36"/>
        <v>11809.800000000001</v>
      </c>
      <c r="S50" s="87">
        <f t="shared" si="36"/>
        <v>10628.82</v>
      </c>
    </row>
    <row r="51" spans="1:19" ht="15.75" customHeight="1" x14ac:dyDescent="0.25">
      <c r="A51" s="85" t="s">
        <v>178</v>
      </c>
      <c r="B51" s="85"/>
      <c r="C51" s="87">
        <f>C50</f>
        <v>20000</v>
      </c>
      <c r="D51" s="87">
        <f t="shared" ref="D51:I51" si="37">C51+D50</f>
        <v>40000</v>
      </c>
      <c r="E51" s="87">
        <f t="shared" si="37"/>
        <v>60000</v>
      </c>
      <c r="F51" s="87">
        <f t="shared" si="37"/>
        <v>80000</v>
      </c>
      <c r="G51" s="87">
        <f t="shared" si="37"/>
        <v>100000</v>
      </c>
      <c r="H51" s="87">
        <f t="shared" si="37"/>
        <v>120000</v>
      </c>
      <c r="I51" s="87">
        <f t="shared" si="37"/>
        <v>140000</v>
      </c>
      <c r="J51" s="74"/>
      <c r="K51" s="74"/>
      <c r="L51" s="85" t="s">
        <v>178</v>
      </c>
      <c r="M51" s="87">
        <f>M50</f>
        <v>20000</v>
      </c>
      <c r="N51" s="87">
        <f t="shared" ref="N51:S51" si="38">M51+N50</f>
        <v>38000</v>
      </c>
      <c r="O51" s="87">
        <f t="shared" si="38"/>
        <v>54200</v>
      </c>
      <c r="P51" s="87">
        <f t="shared" si="38"/>
        <v>68780</v>
      </c>
      <c r="Q51" s="87">
        <f t="shared" si="38"/>
        <v>81902</v>
      </c>
      <c r="R51" s="87">
        <f t="shared" si="38"/>
        <v>93711.8</v>
      </c>
      <c r="S51" s="87">
        <f t="shared" si="38"/>
        <v>104340.62</v>
      </c>
    </row>
    <row r="52" spans="1:19" ht="15.75" customHeight="1" x14ac:dyDescent="0.25">
      <c r="A52" s="85" t="s">
        <v>179</v>
      </c>
      <c r="B52" s="85"/>
      <c r="C52" s="87">
        <f t="shared" ref="C52:I52" si="39">C49-C50</f>
        <v>180000</v>
      </c>
      <c r="D52" s="87">
        <f t="shared" si="39"/>
        <v>160000</v>
      </c>
      <c r="E52" s="87">
        <f t="shared" si="39"/>
        <v>140000</v>
      </c>
      <c r="F52" s="87">
        <f t="shared" si="39"/>
        <v>120000</v>
      </c>
      <c r="G52" s="87">
        <f t="shared" si="39"/>
        <v>100000</v>
      </c>
      <c r="H52" s="87">
        <f t="shared" si="39"/>
        <v>80000</v>
      </c>
      <c r="I52" s="87">
        <f t="shared" si="39"/>
        <v>60000</v>
      </c>
      <c r="J52" s="74"/>
      <c r="K52" s="74"/>
      <c r="L52" s="85" t="s">
        <v>179</v>
      </c>
      <c r="M52" s="87">
        <f t="shared" ref="M52:S52" si="40">M49-M50</f>
        <v>180000</v>
      </c>
      <c r="N52" s="87">
        <f t="shared" si="40"/>
        <v>162000</v>
      </c>
      <c r="O52" s="87">
        <f t="shared" si="40"/>
        <v>145800</v>
      </c>
      <c r="P52" s="87">
        <f t="shared" si="40"/>
        <v>131220</v>
      </c>
      <c r="Q52" s="87">
        <f t="shared" si="40"/>
        <v>118098</v>
      </c>
      <c r="R52" s="87">
        <f t="shared" si="40"/>
        <v>106288.2</v>
      </c>
      <c r="S52" s="87">
        <f t="shared" si="40"/>
        <v>95659.38</v>
      </c>
    </row>
    <row r="53" spans="1:19" ht="15.75" customHeight="1" x14ac:dyDescent="0.25">
      <c r="A53" s="85"/>
      <c r="B53" s="85"/>
      <c r="C53" s="87"/>
      <c r="D53" s="87"/>
      <c r="E53" s="87"/>
      <c r="F53" s="87"/>
      <c r="G53" s="87"/>
      <c r="H53" s="87"/>
      <c r="I53" s="87"/>
      <c r="J53" s="74"/>
      <c r="K53" s="74"/>
      <c r="L53" s="85"/>
      <c r="M53" s="87"/>
      <c r="N53" s="87"/>
      <c r="O53" s="87"/>
      <c r="P53" s="87"/>
      <c r="Q53" s="87"/>
      <c r="R53" s="87"/>
      <c r="S53" s="87"/>
    </row>
    <row r="54" spans="1:19" ht="15.75" customHeight="1" x14ac:dyDescent="0.25">
      <c r="A54" s="86" t="s">
        <v>182</v>
      </c>
      <c r="B54" s="86"/>
      <c r="C54" s="87"/>
      <c r="D54" s="87"/>
      <c r="E54" s="87"/>
      <c r="F54" s="87"/>
      <c r="G54" s="87"/>
      <c r="H54" s="87"/>
      <c r="I54" s="87"/>
      <c r="J54" s="74"/>
      <c r="K54" s="74"/>
      <c r="L54" s="86" t="s">
        <v>182</v>
      </c>
      <c r="M54" s="87"/>
      <c r="N54" s="87"/>
      <c r="O54" s="87"/>
      <c r="P54" s="87"/>
      <c r="Q54" s="87"/>
      <c r="R54" s="87"/>
      <c r="S54" s="87"/>
    </row>
    <row r="55" spans="1:19" ht="15.75" customHeight="1" x14ac:dyDescent="0.25">
      <c r="A55" s="85" t="s">
        <v>176</v>
      </c>
      <c r="B55" s="85"/>
      <c r="C55" s="87">
        <f>'1.Project Cost and MOF'!D9</f>
        <v>0</v>
      </c>
      <c r="D55" s="87">
        <f t="shared" ref="D55:I55" si="41">C58</f>
        <v>0</v>
      </c>
      <c r="E55" s="87">
        <f t="shared" si="41"/>
        <v>0</v>
      </c>
      <c r="F55" s="87">
        <f t="shared" si="41"/>
        <v>0</v>
      </c>
      <c r="G55" s="87">
        <f t="shared" si="41"/>
        <v>0</v>
      </c>
      <c r="H55" s="87">
        <f t="shared" si="41"/>
        <v>0</v>
      </c>
      <c r="I55" s="87">
        <f t="shared" si="41"/>
        <v>0</v>
      </c>
      <c r="J55" s="74"/>
      <c r="K55" s="74"/>
      <c r="L55" s="85" t="s">
        <v>176</v>
      </c>
      <c r="M55" s="87">
        <f>C55</f>
        <v>0</v>
      </c>
      <c r="N55" s="87">
        <f t="shared" ref="N55:S55" si="42">M58</f>
        <v>0</v>
      </c>
      <c r="O55" s="87">
        <f t="shared" si="42"/>
        <v>0</v>
      </c>
      <c r="P55" s="87">
        <f t="shared" si="42"/>
        <v>0</v>
      </c>
      <c r="Q55" s="87">
        <f t="shared" si="42"/>
        <v>0</v>
      </c>
      <c r="R55" s="87">
        <f t="shared" si="42"/>
        <v>0</v>
      </c>
      <c r="S55" s="87">
        <f t="shared" si="42"/>
        <v>0</v>
      </c>
    </row>
    <row r="56" spans="1:19" ht="15.75" customHeight="1" x14ac:dyDescent="0.25">
      <c r="A56" s="85" t="s">
        <v>177</v>
      </c>
      <c r="B56" s="85"/>
      <c r="C56" s="87">
        <f t="shared" ref="C56:I56" si="43">$C$55*$B$77</f>
        <v>0</v>
      </c>
      <c r="D56" s="87">
        <f t="shared" si="43"/>
        <v>0</v>
      </c>
      <c r="E56" s="87">
        <f t="shared" si="43"/>
        <v>0</v>
      </c>
      <c r="F56" s="87">
        <f t="shared" si="43"/>
        <v>0</v>
      </c>
      <c r="G56" s="87">
        <f t="shared" si="43"/>
        <v>0</v>
      </c>
      <c r="H56" s="87">
        <f t="shared" si="43"/>
        <v>0</v>
      </c>
      <c r="I56" s="87">
        <f t="shared" si="43"/>
        <v>0</v>
      </c>
      <c r="J56" s="74"/>
      <c r="K56" s="74"/>
      <c r="L56" s="85" t="s">
        <v>177</v>
      </c>
      <c r="M56" s="87">
        <f t="shared" ref="M56:S56" si="44">M55*$C$77</f>
        <v>0</v>
      </c>
      <c r="N56" s="87">
        <f t="shared" si="44"/>
        <v>0</v>
      </c>
      <c r="O56" s="87">
        <f t="shared" si="44"/>
        <v>0</v>
      </c>
      <c r="P56" s="87">
        <f t="shared" si="44"/>
        <v>0</v>
      </c>
      <c r="Q56" s="87">
        <f t="shared" si="44"/>
        <v>0</v>
      </c>
      <c r="R56" s="87">
        <f t="shared" si="44"/>
        <v>0</v>
      </c>
      <c r="S56" s="87">
        <f t="shared" si="44"/>
        <v>0</v>
      </c>
    </row>
    <row r="57" spans="1:19" ht="15.75" customHeight="1" x14ac:dyDescent="0.25">
      <c r="A57" s="85" t="s">
        <v>178</v>
      </c>
      <c r="B57" s="85"/>
      <c r="C57" s="87">
        <f>C56</f>
        <v>0</v>
      </c>
      <c r="D57" s="87">
        <f t="shared" ref="D57:I57" si="45">C57+D56</f>
        <v>0</v>
      </c>
      <c r="E57" s="87">
        <f t="shared" si="45"/>
        <v>0</v>
      </c>
      <c r="F57" s="87">
        <f t="shared" si="45"/>
        <v>0</v>
      </c>
      <c r="G57" s="87">
        <f t="shared" si="45"/>
        <v>0</v>
      </c>
      <c r="H57" s="87">
        <f t="shared" si="45"/>
        <v>0</v>
      </c>
      <c r="I57" s="87">
        <f t="shared" si="45"/>
        <v>0</v>
      </c>
      <c r="J57" s="74"/>
      <c r="K57" s="74"/>
      <c r="L57" s="85" t="s">
        <v>178</v>
      </c>
      <c r="M57" s="87">
        <f>M56</f>
        <v>0</v>
      </c>
      <c r="N57" s="87">
        <f t="shared" ref="N57:S57" si="46">M57+N56</f>
        <v>0</v>
      </c>
      <c r="O57" s="87">
        <f t="shared" si="46"/>
        <v>0</v>
      </c>
      <c r="P57" s="87">
        <f t="shared" si="46"/>
        <v>0</v>
      </c>
      <c r="Q57" s="87">
        <f t="shared" si="46"/>
        <v>0</v>
      </c>
      <c r="R57" s="87">
        <f t="shared" si="46"/>
        <v>0</v>
      </c>
      <c r="S57" s="87">
        <f t="shared" si="46"/>
        <v>0</v>
      </c>
    </row>
    <row r="58" spans="1:19" ht="15.75" customHeight="1" x14ac:dyDescent="0.25">
      <c r="A58" s="85" t="s">
        <v>179</v>
      </c>
      <c r="B58" s="85"/>
      <c r="C58" s="87">
        <f t="shared" ref="C58:I58" si="47">C55-C56</f>
        <v>0</v>
      </c>
      <c r="D58" s="87">
        <f t="shared" si="47"/>
        <v>0</v>
      </c>
      <c r="E58" s="87">
        <f t="shared" si="47"/>
        <v>0</v>
      </c>
      <c r="F58" s="87">
        <f t="shared" si="47"/>
        <v>0</v>
      </c>
      <c r="G58" s="87">
        <f t="shared" si="47"/>
        <v>0</v>
      </c>
      <c r="H58" s="87">
        <f t="shared" si="47"/>
        <v>0</v>
      </c>
      <c r="I58" s="87">
        <f t="shared" si="47"/>
        <v>0</v>
      </c>
      <c r="J58" s="74"/>
      <c r="K58" s="74"/>
      <c r="L58" s="85" t="s">
        <v>179</v>
      </c>
      <c r="M58" s="87">
        <f t="shared" ref="M58:S58" si="48">M55-M56</f>
        <v>0</v>
      </c>
      <c r="N58" s="87">
        <f t="shared" si="48"/>
        <v>0</v>
      </c>
      <c r="O58" s="87">
        <f t="shared" si="48"/>
        <v>0</v>
      </c>
      <c r="P58" s="87">
        <f t="shared" si="48"/>
        <v>0</v>
      </c>
      <c r="Q58" s="87">
        <f t="shared" si="48"/>
        <v>0</v>
      </c>
      <c r="R58" s="87">
        <f t="shared" si="48"/>
        <v>0</v>
      </c>
      <c r="S58" s="87">
        <f t="shared" si="48"/>
        <v>0</v>
      </c>
    </row>
    <row r="59" spans="1:19" ht="15.75" customHeight="1" x14ac:dyDescent="0.25">
      <c r="A59" s="85"/>
      <c r="B59" s="85"/>
      <c r="C59" s="87"/>
      <c r="D59" s="87"/>
      <c r="E59" s="87"/>
      <c r="F59" s="87"/>
      <c r="G59" s="87"/>
      <c r="H59" s="87"/>
      <c r="I59" s="87"/>
      <c r="J59" s="74"/>
      <c r="K59" s="74"/>
      <c r="L59" s="85"/>
      <c r="M59" s="87"/>
      <c r="N59" s="87"/>
      <c r="O59" s="87"/>
      <c r="P59" s="87"/>
      <c r="Q59" s="87"/>
      <c r="R59" s="87"/>
      <c r="S59" s="87"/>
    </row>
    <row r="60" spans="1:19" ht="15.75" customHeight="1" x14ac:dyDescent="0.25">
      <c r="A60" s="86" t="s">
        <v>183</v>
      </c>
      <c r="B60" s="85"/>
      <c r="C60" s="87"/>
      <c r="D60" s="87"/>
      <c r="E60" s="87"/>
      <c r="F60" s="87"/>
      <c r="G60" s="87"/>
      <c r="H60" s="87"/>
      <c r="I60" s="87"/>
      <c r="J60" s="74"/>
      <c r="K60" s="74"/>
      <c r="L60" s="86" t="s">
        <v>183</v>
      </c>
      <c r="M60" s="87"/>
      <c r="N60" s="87"/>
      <c r="O60" s="87"/>
      <c r="P60" s="87"/>
      <c r="Q60" s="87"/>
      <c r="R60" s="87"/>
      <c r="S60" s="87"/>
    </row>
    <row r="61" spans="1:19" ht="15.75" customHeight="1" x14ac:dyDescent="0.25">
      <c r="A61" s="85" t="str">
        <f t="shared" ref="A61:A64" si="49">A55</f>
        <v>Asset Value</v>
      </c>
      <c r="B61" s="85"/>
      <c r="C61" s="87">
        <f>'1.Project Cost and MOF'!D8</f>
        <v>121240</v>
      </c>
      <c r="D61" s="87">
        <f t="shared" ref="D61:I61" si="50">C64</f>
        <v>109116</v>
      </c>
      <c r="E61" s="87">
        <f t="shared" si="50"/>
        <v>96992</v>
      </c>
      <c r="F61" s="87">
        <f t="shared" si="50"/>
        <v>84868</v>
      </c>
      <c r="G61" s="87">
        <f t="shared" si="50"/>
        <v>72744</v>
      </c>
      <c r="H61" s="87">
        <f t="shared" si="50"/>
        <v>60620</v>
      </c>
      <c r="I61" s="87">
        <f t="shared" si="50"/>
        <v>48496</v>
      </c>
      <c r="J61" s="74"/>
      <c r="K61" s="74"/>
      <c r="L61" s="85" t="str">
        <f t="shared" ref="L61:L64" si="51">L55</f>
        <v>Asset Value</v>
      </c>
      <c r="M61" s="87">
        <f>C61</f>
        <v>121240</v>
      </c>
      <c r="N61" s="87">
        <f t="shared" ref="N61:S61" si="52">M64</f>
        <v>72744</v>
      </c>
      <c r="O61" s="87">
        <f t="shared" si="52"/>
        <v>43646.399999999994</v>
      </c>
      <c r="P61" s="87">
        <f t="shared" si="52"/>
        <v>26187.839999999997</v>
      </c>
      <c r="Q61" s="87">
        <f t="shared" si="52"/>
        <v>15712.703999999998</v>
      </c>
      <c r="R61" s="87">
        <f t="shared" si="52"/>
        <v>9427.6223999999984</v>
      </c>
      <c r="S61" s="87">
        <f t="shared" si="52"/>
        <v>5656.5734399999983</v>
      </c>
    </row>
    <row r="62" spans="1:19" ht="15.75" customHeight="1" x14ac:dyDescent="0.25">
      <c r="A62" s="85" t="str">
        <f t="shared" si="49"/>
        <v>Depreciation</v>
      </c>
      <c r="B62" s="85"/>
      <c r="C62" s="87">
        <f t="shared" ref="C62:I62" si="53">$C$61*$B$76</f>
        <v>12124</v>
      </c>
      <c r="D62" s="87">
        <f t="shared" si="53"/>
        <v>12124</v>
      </c>
      <c r="E62" s="87">
        <f t="shared" si="53"/>
        <v>12124</v>
      </c>
      <c r="F62" s="87">
        <f t="shared" si="53"/>
        <v>12124</v>
      </c>
      <c r="G62" s="87">
        <f t="shared" si="53"/>
        <v>12124</v>
      </c>
      <c r="H62" s="87">
        <f t="shared" si="53"/>
        <v>12124</v>
      </c>
      <c r="I62" s="87">
        <f t="shared" si="53"/>
        <v>12124</v>
      </c>
      <c r="J62" s="74"/>
      <c r="K62" s="74"/>
      <c r="L62" s="85" t="str">
        <f t="shared" si="51"/>
        <v>Depreciation</v>
      </c>
      <c r="M62" s="87">
        <f t="shared" ref="M62:S62" si="54">M61*$C$76</f>
        <v>48496</v>
      </c>
      <c r="N62" s="87">
        <f t="shared" si="54"/>
        <v>29097.600000000002</v>
      </c>
      <c r="O62" s="87">
        <f t="shared" si="54"/>
        <v>17458.559999999998</v>
      </c>
      <c r="P62" s="87">
        <f t="shared" si="54"/>
        <v>10475.135999999999</v>
      </c>
      <c r="Q62" s="87">
        <f t="shared" si="54"/>
        <v>6285.0815999999995</v>
      </c>
      <c r="R62" s="87">
        <f t="shared" si="54"/>
        <v>3771.0489599999996</v>
      </c>
      <c r="S62" s="87">
        <f t="shared" si="54"/>
        <v>2262.6293759999994</v>
      </c>
    </row>
    <row r="63" spans="1:19" ht="15.75" customHeight="1" x14ac:dyDescent="0.25">
      <c r="A63" s="85" t="str">
        <f t="shared" si="49"/>
        <v>Accumulated Depreciation</v>
      </c>
      <c r="B63" s="85"/>
      <c r="C63" s="87">
        <f>C62</f>
        <v>12124</v>
      </c>
      <c r="D63" s="87">
        <f t="shared" ref="D63:I63" si="55">D62+C63</f>
        <v>24248</v>
      </c>
      <c r="E63" s="87">
        <f t="shared" si="55"/>
        <v>36372</v>
      </c>
      <c r="F63" s="87">
        <f t="shared" si="55"/>
        <v>48496</v>
      </c>
      <c r="G63" s="87">
        <f t="shared" si="55"/>
        <v>60620</v>
      </c>
      <c r="H63" s="87">
        <f t="shared" si="55"/>
        <v>72744</v>
      </c>
      <c r="I63" s="87">
        <f t="shared" si="55"/>
        <v>84868</v>
      </c>
      <c r="J63" s="74"/>
      <c r="K63" s="74"/>
      <c r="L63" s="85" t="str">
        <f t="shared" si="51"/>
        <v>Accumulated Depreciation</v>
      </c>
      <c r="M63" s="87">
        <f>M62</f>
        <v>48496</v>
      </c>
      <c r="N63" s="87">
        <f t="shared" ref="N63:S63" si="56">N62+M63</f>
        <v>77593.600000000006</v>
      </c>
      <c r="O63" s="87">
        <f t="shared" si="56"/>
        <v>95052.160000000003</v>
      </c>
      <c r="P63" s="87">
        <f t="shared" si="56"/>
        <v>105527.296</v>
      </c>
      <c r="Q63" s="87">
        <f t="shared" si="56"/>
        <v>111812.37760000001</v>
      </c>
      <c r="R63" s="87">
        <f t="shared" si="56"/>
        <v>115583.42656000001</v>
      </c>
      <c r="S63" s="87">
        <f t="shared" si="56"/>
        <v>117846.055936</v>
      </c>
    </row>
    <row r="64" spans="1:19" ht="15.75" customHeight="1" x14ac:dyDescent="0.25">
      <c r="A64" s="85" t="str">
        <f t="shared" si="49"/>
        <v>Net Fixed Assets</v>
      </c>
      <c r="B64" s="85"/>
      <c r="C64" s="87">
        <f t="shared" ref="C64:I64" si="57">C61-C62</f>
        <v>109116</v>
      </c>
      <c r="D64" s="87">
        <f t="shared" si="57"/>
        <v>96992</v>
      </c>
      <c r="E64" s="87">
        <f t="shared" si="57"/>
        <v>84868</v>
      </c>
      <c r="F64" s="87">
        <f t="shared" si="57"/>
        <v>72744</v>
      </c>
      <c r="G64" s="87">
        <f t="shared" si="57"/>
        <v>60620</v>
      </c>
      <c r="H64" s="87">
        <f t="shared" si="57"/>
        <v>48496</v>
      </c>
      <c r="I64" s="87">
        <f t="shared" si="57"/>
        <v>36372</v>
      </c>
      <c r="J64" s="74"/>
      <c r="K64" s="74"/>
      <c r="L64" s="85" t="str">
        <f t="shared" si="51"/>
        <v>Net Fixed Assets</v>
      </c>
      <c r="M64" s="87">
        <f t="shared" ref="M64:S64" si="58">M61-M62</f>
        <v>72744</v>
      </c>
      <c r="N64" s="87">
        <f t="shared" si="58"/>
        <v>43646.399999999994</v>
      </c>
      <c r="O64" s="87">
        <f t="shared" si="58"/>
        <v>26187.839999999997</v>
      </c>
      <c r="P64" s="87">
        <f t="shared" si="58"/>
        <v>15712.703999999998</v>
      </c>
      <c r="Q64" s="87">
        <f t="shared" si="58"/>
        <v>9427.6223999999984</v>
      </c>
      <c r="R64" s="87">
        <f t="shared" si="58"/>
        <v>5656.5734399999983</v>
      </c>
      <c r="S64" s="87">
        <f t="shared" si="58"/>
        <v>3393.9440639999989</v>
      </c>
    </row>
    <row r="65" spans="1:19" ht="15.75" customHeight="1" x14ac:dyDescent="0.25">
      <c r="A65" s="86" t="s">
        <v>184</v>
      </c>
      <c r="B65" s="86"/>
      <c r="C65" s="88">
        <f t="shared" ref="C65:I65" si="59">C49+C43+C37+C55+C61</f>
        <v>22897159.079999998</v>
      </c>
      <c r="D65" s="88">
        <f t="shared" si="59"/>
        <v>21710542.006236002</v>
      </c>
      <c r="E65" s="88">
        <f t="shared" si="59"/>
        <v>20523924.932471998</v>
      </c>
      <c r="F65" s="88">
        <f t="shared" si="59"/>
        <v>19337307.858707998</v>
      </c>
      <c r="G65" s="88">
        <f t="shared" si="59"/>
        <v>18150690.784943998</v>
      </c>
      <c r="H65" s="88">
        <f t="shared" si="59"/>
        <v>16964073.711179994</v>
      </c>
      <c r="I65" s="88">
        <f t="shared" si="59"/>
        <v>15777456.637415994</v>
      </c>
      <c r="J65" s="74"/>
      <c r="K65" s="74"/>
      <c r="L65" s="86" t="s">
        <v>184</v>
      </c>
      <c r="M65" s="88">
        <f t="shared" ref="M65:S65" si="60">M49+M43+M37+M55+M61</f>
        <v>22897159.079999998</v>
      </c>
      <c r="N65" s="88">
        <f t="shared" si="60"/>
        <v>19876709.718000002</v>
      </c>
      <c r="O65" s="88">
        <f t="shared" si="60"/>
        <v>17277008.3103</v>
      </c>
      <c r="P65" s="88">
        <f t="shared" si="60"/>
        <v>15034537.408755001</v>
      </c>
      <c r="Q65" s="88">
        <f t="shared" si="60"/>
        <v>13096802.587941751</v>
      </c>
      <c r="R65" s="88">
        <f t="shared" si="60"/>
        <v>11419947.499200489</v>
      </c>
      <c r="S65" s="88">
        <f t="shared" si="60"/>
        <v>9967032.5966254156</v>
      </c>
    </row>
    <row r="66" spans="1:19" ht="15.75" customHeight="1" x14ac:dyDescent="0.25">
      <c r="A66" s="86" t="s">
        <v>185</v>
      </c>
      <c r="B66" s="86"/>
      <c r="C66" s="88">
        <f t="shared" ref="C66:I66" si="61">C50+C44+C38+C56+C62</f>
        <v>1186617.0737640001</v>
      </c>
      <c r="D66" s="88">
        <f t="shared" si="61"/>
        <v>1186617.0737640001</v>
      </c>
      <c r="E66" s="88">
        <f t="shared" si="61"/>
        <v>1186617.0737640001</v>
      </c>
      <c r="F66" s="88">
        <f t="shared" si="61"/>
        <v>1186617.0737640001</v>
      </c>
      <c r="G66" s="88">
        <f t="shared" si="61"/>
        <v>1186617.0737640001</v>
      </c>
      <c r="H66" s="88">
        <f t="shared" si="61"/>
        <v>1186617.0737640001</v>
      </c>
      <c r="I66" s="88">
        <f t="shared" si="61"/>
        <v>1186617.0737640001</v>
      </c>
      <c r="J66" s="74"/>
      <c r="K66" s="74"/>
      <c r="L66" s="86" t="s">
        <v>185</v>
      </c>
      <c r="M66" s="88">
        <f t="shared" ref="M66:S66" si="62">M50+M44+M38+M56+M62</f>
        <v>3020449.3619999997</v>
      </c>
      <c r="N66" s="88">
        <f t="shared" si="62"/>
        <v>2599701.4076999999</v>
      </c>
      <c r="O66" s="88">
        <f t="shared" si="62"/>
        <v>2242470.9015450003</v>
      </c>
      <c r="P66" s="88">
        <f t="shared" si="62"/>
        <v>1937734.8208132503</v>
      </c>
      <c r="Q66" s="88">
        <f t="shared" si="62"/>
        <v>1676855.0887412627</v>
      </c>
      <c r="R66" s="88">
        <f t="shared" si="62"/>
        <v>1452914.9025750733</v>
      </c>
      <c r="S66" s="88">
        <f t="shared" si="62"/>
        <v>1260278.3177393123</v>
      </c>
    </row>
    <row r="67" spans="1:19" ht="15.75" customHeight="1" x14ac:dyDescent="0.25">
      <c r="A67" s="86" t="s">
        <v>186</v>
      </c>
      <c r="B67" s="86"/>
      <c r="C67" s="88">
        <f t="shared" ref="C67:I67" si="63">C51+C45+C39+C57+C63</f>
        <v>1186617.0737640001</v>
      </c>
      <c r="D67" s="88">
        <f t="shared" si="63"/>
        <v>2373234.1475280002</v>
      </c>
      <c r="E67" s="88">
        <f t="shared" si="63"/>
        <v>3559851.2212920003</v>
      </c>
      <c r="F67" s="88">
        <f t="shared" si="63"/>
        <v>4746468.2950560004</v>
      </c>
      <c r="G67" s="88">
        <f t="shared" si="63"/>
        <v>5933085.3688200004</v>
      </c>
      <c r="H67" s="88">
        <f t="shared" si="63"/>
        <v>7119702.4425840005</v>
      </c>
      <c r="I67" s="88">
        <f t="shared" si="63"/>
        <v>8306319.5163479997</v>
      </c>
      <c r="J67" s="74"/>
      <c r="K67" s="74"/>
      <c r="L67" s="86" t="s">
        <v>186</v>
      </c>
      <c r="M67" s="88">
        <f t="shared" ref="M67:S67" si="64">M51+M45+M39+M57+M63</f>
        <v>3020449.3619999997</v>
      </c>
      <c r="N67" s="88">
        <f t="shared" si="64"/>
        <v>5620150.7697000001</v>
      </c>
      <c r="O67" s="88">
        <f t="shared" si="64"/>
        <v>7862621.6712450003</v>
      </c>
      <c r="P67" s="88">
        <f t="shared" si="64"/>
        <v>9800356.4920582511</v>
      </c>
      <c r="Q67" s="88">
        <f t="shared" si="64"/>
        <v>11477211.580799513</v>
      </c>
      <c r="R67" s="88">
        <f t="shared" si="64"/>
        <v>12930126.483374588</v>
      </c>
      <c r="S67" s="88">
        <f t="shared" si="64"/>
        <v>14190404.801113898</v>
      </c>
    </row>
    <row r="68" spans="1:19" ht="15.75" customHeight="1" x14ac:dyDescent="0.25">
      <c r="A68" s="86" t="s">
        <v>179</v>
      </c>
      <c r="B68" s="86"/>
      <c r="C68" s="88">
        <f t="shared" ref="C68:I68" si="65">C52+C46+C40+C58+C64</f>
        <v>21710542.006236002</v>
      </c>
      <c r="D68" s="88">
        <f t="shared" si="65"/>
        <v>20523924.932471998</v>
      </c>
      <c r="E68" s="88">
        <f t="shared" si="65"/>
        <v>19337307.858707998</v>
      </c>
      <c r="F68" s="88">
        <f t="shared" si="65"/>
        <v>18150690.784943998</v>
      </c>
      <c r="G68" s="88">
        <f t="shared" si="65"/>
        <v>16964073.711179994</v>
      </c>
      <c r="H68" s="88">
        <f t="shared" si="65"/>
        <v>15777456.637415994</v>
      </c>
      <c r="I68" s="88">
        <f t="shared" si="65"/>
        <v>14590839.563651994</v>
      </c>
      <c r="J68" s="74"/>
      <c r="K68" s="88"/>
      <c r="L68" s="86" t="s">
        <v>179</v>
      </c>
      <c r="M68" s="88">
        <f t="shared" ref="M68:S68" si="66">M52+M46+M40+M58+M64</f>
        <v>19876709.718000002</v>
      </c>
      <c r="N68" s="88">
        <f t="shared" si="66"/>
        <v>17277008.3103</v>
      </c>
      <c r="O68" s="88">
        <f t="shared" si="66"/>
        <v>15034537.408755001</v>
      </c>
      <c r="P68" s="88">
        <f t="shared" si="66"/>
        <v>13096802.587941751</v>
      </c>
      <c r="Q68" s="88">
        <f t="shared" si="66"/>
        <v>11419947.499200489</v>
      </c>
      <c r="R68" s="88">
        <f t="shared" si="66"/>
        <v>9967032.5966254156</v>
      </c>
      <c r="S68" s="88">
        <f t="shared" si="66"/>
        <v>8706754.278886104</v>
      </c>
    </row>
    <row r="69" spans="1:19" ht="15.75" customHeight="1" x14ac:dyDescent="0.25">
      <c r="A69" s="89"/>
      <c r="B69" s="89"/>
      <c r="C69" s="90"/>
      <c r="D69" s="90"/>
      <c r="E69" s="90"/>
      <c r="F69" s="90"/>
      <c r="G69" s="90"/>
      <c r="H69" s="90"/>
      <c r="I69" s="90"/>
      <c r="J69" s="69"/>
    </row>
    <row r="70" spans="1:19" ht="15.75" customHeight="1" x14ac:dyDescent="0.25">
      <c r="A70" s="69"/>
      <c r="B70" s="69"/>
      <c r="C70" s="69"/>
      <c r="D70" s="69"/>
      <c r="E70" s="69"/>
      <c r="F70" s="69"/>
      <c r="G70" s="69"/>
      <c r="H70" s="69"/>
      <c r="I70" s="69"/>
      <c r="J70" s="69"/>
    </row>
    <row r="71" spans="1:19" ht="15.75" customHeight="1" x14ac:dyDescent="0.25">
      <c r="A71" s="91" t="s">
        <v>187</v>
      </c>
      <c r="B71" s="92" t="s">
        <v>188</v>
      </c>
      <c r="C71" s="93" t="s">
        <v>189</v>
      </c>
      <c r="D71" s="69"/>
      <c r="E71" s="69"/>
      <c r="F71" s="69"/>
      <c r="G71" s="69"/>
      <c r="H71" s="69"/>
      <c r="I71" s="69"/>
      <c r="J71" s="69"/>
    </row>
    <row r="72" spans="1:19" ht="15.75" customHeight="1" x14ac:dyDescent="0.25">
      <c r="A72" s="94" t="s">
        <v>190</v>
      </c>
      <c r="B72" s="92" t="s">
        <v>191</v>
      </c>
      <c r="C72" s="93" t="s">
        <v>192</v>
      </c>
      <c r="D72" s="69"/>
      <c r="E72" s="69"/>
      <c r="F72" s="69"/>
      <c r="G72" s="69"/>
      <c r="H72" s="69"/>
      <c r="I72" s="69"/>
      <c r="J72" s="69"/>
    </row>
    <row r="73" spans="1:19" ht="15.75" customHeight="1" x14ac:dyDescent="0.25">
      <c r="A73" s="94" t="s">
        <v>124</v>
      </c>
      <c r="B73" s="71">
        <v>0</v>
      </c>
      <c r="C73" s="71">
        <v>0</v>
      </c>
      <c r="D73" s="69"/>
      <c r="E73" s="69"/>
      <c r="F73" s="69"/>
      <c r="G73" s="69"/>
      <c r="H73" s="69"/>
      <c r="I73" s="69"/>
      <c r="J73" s="69"/>
    </row>
    <row r="74" spans="1:19" ht="15.75" customHeight="1" x14ac:dyDescent="0.25">
      <c r="A74" s="95" t="s">
        <v>175</v>
      </c>
      <c r="B74" s="71">
        <v>3.1699999999999999E-2</v>
      </c>
      <c r="C74" s="71">
        <v>0.1</v>
      </c>
      <c r="D74" s="70"/>
      <c r="E74" s="69"/>
      <c r="F74" s="69"/>
      <c r="G74" s="69"/>
      <c r="H74" s="69"/>
      <c r="I74" s="69"/>
      <c r="J74" s="69"/>
    </row>
    <row r="75" spans="1:19" ht="15.75" customHeight="1" x14ac:dyDescent="0.25">
      <c r="A75" s="95" t="s">
        <v>181</v>
      </c>
      <c r="B75" s="71">
        <v>0.1</v>
      </c>
      <c r="C75" s="71">
        <v>0.1</v>
      </c>
      <c r="D75" s="69"/>
      <c r="E75" s="69"/>
      <c r="F75" s="69"/>
      <c r="G75" s="69"/>
      <c r="H75" s="69"/>
      <c r="I75" s="69"/>
      <c r="J75" s="69"/>
    </row>
    <row r="76" spans="1:19" ht="15.75" customHeight="1" x14ac:dyDescent="0.25">
      <c r="A76" s="69" t="s">
        <v>193</v>
      </c>
      <c r="B76" s="71">
        <v>0.1</v>
      </c>
      <c r="C76" s="71">
        <v>0.4</v>
      </c>
      <c r="D76" s="69"/>
      <c r="E76" s="69"/>
      <c r="F76" s="69"/>
      <c r="G76" s="69"/>
      <c r="H76" s="69"/>
      <c r="I76" s="69"/>
      <c r="J76" s="69"/>
    </row>
    <row r="77" spans="1:19" ht="15.75" customHeight="1" x14ac:dyDescent="0.25">
      <c r="A77" s="69" t="s">
        <v>194</v>
      </c>
      <c r="B77" s="71">
        <v>0.1188</v>
      </c>
      <c r="C77" s="71">
        <v>0.15</v>
      </c>
      <c r="D77" s="69"/>
      <c r="E77" s="69"/>
      <c r="F77" s="69"/>
      <c r="G77" s="69"/>
      <c r="H77" s="69"/>
      <c r="I77" s="69"/>
      <c r="J77" s="69"/>
    </row>
    <row r="78" spans="1:19" ht="15.75" customHeight="1" x14ac:dyDescent="0.25">
      <c r="A78" s="95" t="s">
        <v>195</v>
      </c>
      <c r="B78" s="71">
        <v>6.3299999999999995E-2</v>
      </c>
      <c r="C78" s="71">
        <v>0.15</v>
      </c>
      <c r="D78" s="69"/>
      <c r="E78" s="69"/>
      <c r="F78" s="69"/>
      <c r="G78" s="69"/>
      <c r="H78" s="69"/>
      <c r="I78" s="69"/>
      <c r="J78" s="69"/>
    </row>
    <row r="79" spans="1:19" ht="15.75" customHeight="1" x14ac:dyDescent="0.25">
      <c r="A79" s="94" t="s">
        <v>187</v>
      </c>
      <c r="B79" s="71"/>
      <c r="C79" s="70"/>
      <c r="D79" s="69"/>
      <c r="E79" s="69"/>
      <c r="F79" s="69"/>
      <c r="G79" s="69"/>
      <c r="H79" s="69"/>
      <c r="I79" s="69"/>
      <c r="J79" s="69"/>
    </row>
    <row r="80" spans="1:19" ht="15.75" customHeight="1" x14ac:dyDescent="0.25">
      <c r="A80" s="95" t="s">
        <v>196</v>
      </c>
      <c r="B80" s="70">
        <v>0.2</v>
      </c>
      <c r="C80" s="70">
        <v>0.2</v>
      </c>
      <c r="D80" s="69"/>
      <c r="E80" s="69"/>
      <c r="F80" s="69"/>
      <c r="G80" s="69"/>
      <c r="H80" s="69"/>
      <c r="I80" s="69"/>
      <c r="J80" s="69"/>
    </row>
    <row r="81" spans="1:17" ht="15.75" customHeight="1" x14ac:dyDescent="0.25">
      <c r="A81" s="69"/>
      <c r="B81" s="69"/>
      <c r="C81" s="69"/>
      <c r="D81" s="69"/>
      <c r="E81" s="69"/>
      <c r="F81" s="69"/>
      <c r="G81" s="69"/>
      <c r="H81" s="69"/>
      <c r="I81" s="69"/>
      <c r="J81" s="69"/>
    </row>
    <row r="82" spans="1:17" ht="15.75" customHeight="1" x14ac:dyDescent="0.25">
      <c r="A82" s="69"/>
      <c r="B82" s="69"/>
      <c r="C82" s="69"/>
      <c r="D82" s="69"/>
      <c r="E82" s="70"/>
      <c r="F82" s="69"/>
      <c r="G82" s="69"/>
      <c r="H82" s="69"/>
      <c r="I82" s="69"/>
      <c r="J82" s="69"/>
    </row>
    <row r="83" spans="1:17" ht="15.75" customHeight="1" x14ac:dyDescent="0.3">
      <c r="A83" s="294" t="s">
        <v>197</v>
      </c>
      <c r="K83" s="96"/>
      <c r="L83" s="96"/>
      <c r="M83" s="96"/>
      <c r="N83" s="96"/>
      <c r="O83" s="96"/>
      <c r="P83" s="96"/>
      <c r="Q83" s="96"/>
    </row>
    <row r="84" spans="1:17" ht="15.75" customHeight="1" x14ac:dyDescent="0.25">
      <c r="A84" s="97"/>
      <c r="B84" s="97"/>
      <c r="C84" s="96"/>
      <c r="D84" s="96"/>
      <c r="E84" s="96"/>
      <c r="F84" s="96"/>
      <c r="G84" s="96"/>
      <c r="H84" s="96"/>
      <c r="I84" s="96"/>
      <c r="J84" s="96"/>
      <c r="K84" s="96"/>
      <c r="L84" s="96"/>
      <c r="M84" s="96"/>
      <c r="N84" s="96"/>
      <c r="O84" s="96"/>
      <c r="P84" s="96"/>
      <c r="Q84" s="96"/>
    </row>
    <row r="85" spans="1:17" ht="15.75" customHeight="1" x14ac:dyDescent="0.25">
      <c r="A85" s="98" t="s">
        <v>148</v>
      </c>
      <c r="B85" s="99" t="s">
        <v>198</v>
      </c>
      <c r="C85" s="100" t="s">
        <v>151</v>
      </c>
      <c r="D85" s="100" t="s">
        <v>152</v>
      </c>
      <c r="E85" s="100" t="s">
        <v>153</v>
      </c>
      <c r="F85" s="100" t="s">
        <v>154</v>
      </c>
      <c r="G85" s="100" t="s">
        <v>155</v>
      </c>
      <c r="H85" s="100" t="s">
        <v>156</v>
      </c>
      <c r="I85" s="100" t="s">
        <v>157</v>
      </c>
      <c r="J85" s="101"/>
      <c r="K85" s="101"/>
      <c r="L85" s="101"/>
      <c r="M85" s="96"/>
      <c r="N85" s="96"/>
      <c r="O85" s="96"/>
      <c r="P85" s="96"/>
      <c r="Q85" s="96"/>
    </row>
    <row r="86" spans="1:17" ht="15.75" customHeight="1" x14ac:dyDescent="0.25">
      <c r="A86" s="102" t="s">
        <v>144</v>
      </c>
      <c r="B86" s="103">
        <v>5</v>
      </c>
      <c r="C86" s="87">
        <f>'1.Project Cost and MOF'!$D$10/5</f>
        <v>90000</v>
      </c>
      <c r="D86" s="87">
        <f>'1.Project Cost and MOF'!$D$10/5</f>
        <v>90000</v>
      </c>
      <c r="E86" s="87">
        <f>'1.Project Cost and MOF'!$D$10/5</f>
        <v>90000</v>
      </c>
      <c r="F86" s="87">
        <f>'1.Project Cost and MOF'!$D$10/5</f>
        <v>90000</v>
      </c>
      <c r="G86" s="87">
        <f>'1.Project Cost and MOF'!$D$10/5</f>
        <v>90000</v>
      </c>
      <c r="H86" s="87">
        <v>0</v>
      </c>
      <c r="I86" s="87">
        <v>0</v>
      </c>
      <c r="J86" s="101"/>
      <c r="K86" s="101"/>
      <c r="L86" s="101"/>
      <c r="M86" s="96"/>
      <c r="N86" s="96"/>
      <c r="O86" s="96"/>
      <c r="P86" s="96"/>
      <c r="Q86" s="96"/>
    </row>
    <row r="87" spans="1:17" ht="15.75" customHeight="1" x14ac:dyDescent="0.25">
      <c r="A87" s="104" t="s">
        <v>199</v>
      </c>
      <c r="B87" s="105"/>
      <c r="C87" s="88">
        <f t="shared" ref="C87:I87" si="67">SUM(C85:C86)</f>
        <v>90000</v>
      </c>
      <c r="D87" s="88">
        <f t="shared" si="67"/>
        <v>90000</v>
      </c>
      <c r="E87" s="88">
        <f t="shared" si="67"/>
        <v>90000</v>
      </c>
      <c r="F87" s="88">
        <f t="shared" si="67"/>
        <v>90000</v>
      </c>
      <c r="G87" s="88">
        <f t="shared" si="67"/>
        <v>90000</v>
      </c>
      <c r="H87" s="88">
        <f t="shared" si="67"/>
        <v>0</v>
      </c>
      <c r="I87" s="88">
        <f t="shared" si="67"/>
        <v>0</v>
      </c>
      <c r="J87" s="106"/>
      <c r="K87" s="106"/>
      <c r="L87" s="106"/>
      <c r="M87" s="96"/>
      <c r="N87" s="96"/>
      <c r="O87" s="96"/>
      <c r="P87" s="96"/>
      <c r="Q87" s="96"/>
    </row>
    <row r="88" spans="1:17" ht="15.75" customHeight="1" x14ac:dyDescent="0.25">
      <c r="A88" s="96"/>
      <c r="B88" s="96"/>
      <c r="C88" s="101"/>
      <c r="D88" s="101"/>
      <c r="E88" s="101"/>
      <c r="F88" s="101"/>
      <c r="G88" s="101"/>
      <c r="H88" s="101"/>
      <c r="I88" s="101"/>
      <c r="J88" s="101"/>
      <c r="K88" s="101"/>
      <c r="L88" s="101"/>
      <c r="M88" s="96"/>
      <c r="N88" s="96"/>
      <c r="O88" s="96"/>
      <c r="P88" s="96"/>
      <c r="Q88" s="96"/>
    </row>
    <row r="89" spans="1:17" ht="15.75" customHeight="1" x14ac:dyDescent="0.25"/>
    <row r="90" spans="1:17" ht="15.75" customHeight="1" x14ac:dyDescent="0.25"/>
    <row r="91" spans="1:17" ht="15.75" customHeight="1" x14ac:dyDescent="0.25">
      <c r="A91" s="107"/>
      <c r="B91" s="96"/>
      <c r="C91" s="96"/>
      <c r="D91" s="96"/>
      <c r="E91" s="96"/>
      <c r="F91" s="96"/>
      <c r="G91" s="96"/>
      <c r="H91" s="96"/>
      <c r="I91" s="96"/>
      <c r="J91" s="96"/>
      <c r="K91" s="96"/>
      <c r="L91" s="96"/>
    </row>
    <row r="92" spans="1:17" ht="15.75" customHeight="1" x14ac:dyDescent="0.3">
      <c r="A92" s="296" t="s">
        <v>200</v>
      </c>
      <c r="I92" s="108"/>
      <c r="J92" s="108"/>
      <c r="K92" s="108"/>
      <c r="L92" s="108"/>
    </row>
    <row r="93" spans="1:17" ht="15.75" customHeight="1" x14ac:dyDescent="0.25">
      <c r="A93" s="97"/>
      <c r="B93" s="96"/>
      <c r="C93" s="96"/>
      <c r="D93" s="96"/>
      <c r="E93" s="96"/>
      <c r="F93" s="96"/>
      <c r="G93" s="96"/>
      <c r="H93" s="96"/>
      <c r="I93" s="96"/>
      <c r="J93" s="96"/>
      <c r="K93" s="96"/>
      <c r="L93" s="96"/>
    </row>
    <row r="94" spans="1:17" ht="15.75" customHeight="1" x14ac:dyDescent="0.25">
      <c r="A94" s="72" t="s">
        <v>148</v>
      </c>
      <c r="B94" s="73" t="s">
        <v>151</v>
      </c>
      <c r="C94" s="73" t="s">
        <v>152</v>
      </c>
      <c r="D94" s="73" t="s">
        <v>153</v>
      </c>
      <c r="E94" s="73" t="s">
        <v>154</v>
      </c>
      <c r="F94" s="73" t="s">
        <v>155</v>
      </c>
      <c r="G94" s="73" t="s">
        <v>156</v>
      </c>
      <c r="H94" s="73" t="s">
        <v>157</v>
      </c>
      <c r="I94" s="108"/>
      <c r="J94" s="108"/>
      <c r="K94" s="108"/>
      <c r="L94" s="108"/>
    </row>
    <row r="95" spans="1:17" ht="15.75" customHeight="1" x14ac:dyDescent="0.25">
      <c r="A95" s="74" t="s">
        <v>201</v>
      </c>
      <c r="B95" s="109">
        <f>'6.Cons Profit &amp; Loss'!B49</f>
        <v>2274003.8697359757</v>
      </c>
      <c r="C95" s="109">
        <f>'6.Cons Profit &amp; Loss'!C49</f>
        <v>2772282.4724796629</v>
      </c>
      <c r="D95" s="109">
        <f>'6.Cons Profit &amp; Loss'!D49</f>
        <v>3968055.5842885892</v>
      </c>
      <c r="E95" s="109">
        <f>'6.Cons Profit &amp; Loss'!E49</f>
        <v>5277993.4804105824</v>
      </c>
      <c r="F95" s="109">
        <f>'6.Cons Profit &amp; Loss'!F49</f>
        <v>6567888.3706762223</v>
      </c>
      <c r="G95" s="109">
        <f>'6.Cons Profit &amp; Loss'!G49</f>
        <v>7887064.312619159</v>
      </c>
      <c r="H95" s="109">
        <f>'6.Cons Profit &amp; Loss'!H49</f>
        <v>9219546.5851452891</v>
      </c>
      <c r="I95" s="110"/>
      <c r="J95" s="110"/>
      <c r="K95" s="110"/>
      <c r="L95" s="110"/>
    </row>
    <row r="96" spans="1:17" ht="15.75" customHeight="1" x14ac:dyDescent="0.25">
      <c r="A96" s="74" t="s">
        <v>202</v>
      </c>
      <c r="B96" s="109">
        <f>'6.Cons Profit &amp; Loss'!B42</f>
        <v>1186617.0737640001</v>
      </c>
      <c r="C96" s="109">
        <f>'6.Cons Profit &amp; Loss'!C42</f>
        <v>1186617.0737640001</v>
      </c>
      <c r="D96" s="109">
        <f>'6.Cons Profit &amp; Loss'!D42</f>
        <v>1186617.0737640001</v>
      </c>
      <c r="E96" s="109">
        <f>'6.Cons Profit &amp; Loss'!E42</f>
        <v>1186617.0737640001</v>
      </c>
      <c r="F96" s="109">
        <f>'6.Cons Profit &amp; Loss'!F42</f>
        <v>1186617.0737640001</v>
      </c>
      <c r="G96" s="109">
        <f>'6.Cons Profit &amp; Loss'!G42</f>
        <v>1186617.0737640001</v>
      </c>
      <c r="H96" s="109">
        <f>'6.Cons Profit &amp; Loss'!H42</f>
        <v>1186617.0737640001</v>
      </c>
      <c r="I96" s="110"/>
      <c r="J96" s="110"/>
      <c r="K96" s="110"/>
      <c r="L96" s="110"/>
    </row>
    <row r="97" spans="1:12" ht="15.75" customHeight="1" x14ac:dyDescent="0.25">
      <c r="A97" s="74" t="s">
        <v>203</v>
      </c>
      <c r="B97" s="109">
        <f>'3.Other Exp &amp; Taxes'!M66</f>
        <v>3020449.3619999997</v>
      </c>
      <c r="C97" s="109">
        <f>'3.Other Exp &amp; Taxes'!N66</f>
        <v>2599701.4076999999</v>
      </c>
      <c r="D97" s="109">
        <f>'3.Other Exp &amp; Taxes'!O66</f>
        <v>2242470.9015450003</v>
      </c>
      <c r="E97" s="109">
        <f>'3.Other Exp &amp; Taxes'!P66</f>
        <v>1937734.8208132503</v>
      </c>
      <c r="F97" s="109">
        <f>'3.Other Exp &amp; Taxes'!Q66</f>
        <v>1676855.0887412627</v>
      </c>
      <c r="G97" s="109">
        <f>'3.Other Exp &amp; Taxes'!R66</f>
        <v>1452914.9025750733</v>
      </c>
      <c r="H97" s="109">
        <f>'3.Other Exp &amp; Taxes'!S66</f>
        <v>1260278.3177393123</v>
      </c>
      <c r="I97" s="110"/>
      <c r="J97" s="110"/>
      <c r="K97" s="110"/>
      <c r="L97" s="110"/>
    </row>
    <row r="98" spans="1:12" ht="15.75" customHeight="1" x14ac:dyDescent="0.25">
      <c r="A98" s="74" t="s">
        <v>204</v>
      </c>
      <c r="B98" s="109">
        <f t="shared" ref="B98:H98" si="68">B95+B96-B97</f>
        <v>440171.58149997611</v>
      </c>
      <c r="C98" s="109">
        <f t="shared" si="68"/>
        <v>1359198.1385436631</v>
      </c>
      <c r="D98" s="109">
        <f t="shared" si="68"/>
        <v>2912201.7565075895</v>
      </c>
      <c r="E98" s="109">
        <f t="shared" si="68"/>
        <v>4526875.7333613317</v>
      </c>
      <c r="F98" s="109">
        <f t="shared" si="68"/>
        <v>6077650.3556989599</v>
      </c>
      <c r="G98" s="109">
        <f t="shared" si="68"/>
        <v>7620766.4838080853</v>
      </c>
      <c r="H98" s="109">
        <f t="shared" si="68"/>
        <v>9145885.3411699776</v>
      </c>
      <c r="I98" s="110"/>
      <c r="J98" s="110"/>
      <c r="K98" s="110"/>
      <c r="L98" s="110"/>
    </row>
    <row r="99" spans="1:12" ht="15.75" customHeight="1" x14ac:dyDescent="0.25">
      <c r="A99" s="77" t="s">
        <v>205</v>
      </c>
      <c r="B99" s="111">
        <f t="shared" ref="B99:H99" si="69">B98*$B$102</f>
        <v>114444.6111899938</v>
      </c>
      <c r="C99" s="111">
        <f t="shared" si="69"/>
        <v>353391.51602135244</v>
      </c>
      <c r="D99" s="111">
        <f t="shared" si="69"/>
        <v>757172.45669197326</v>
      </c>
      <c r="E99" s="111">
        <f t="shared" si="69"/>
        <v>1176987.6906739464</v>
      </c>
      <c r="F99" s="111">
        <f t="shared" si="69"/>
        <v>1580189.0924817296</v>
      </c>
      <c r="G99" s="111">
        <f t="shared" si="69"/>
        <v>1981399.2857901023</v>
      </c>
      <c r="H99" s="111">
        <f t="shared" si="69"/>
        <v>2377930.188704194</v>
      </c>
      <c r="I99" s="110"/>
      <c r="J99" s="110"/>
      <c r="K99" s="110"/>
      <c r="L99" s="110"/>
    </row>
    <row r="100" spans="1:12" ht="15.75" customHeight="1" x14ac:dyDescent="0.25">
      <c r="A100" s="112"/>
      <c r="B100" s="96"/>
      <c r="C100" s="96"/>
      <c r="D100" s="96"/>
      <c r="E100" s="96"/>
      <c r="F100" s="96"/>
      <c r="G100" s="96"/>
      <c r="H100" s="96"/>
      <c r="I100" s="96"/>
      <c r="J100" s="96"/>
      <c r="K100" s="96"/>
      <c r="L100" s="96"/>
    </row>
    <row r="101" spans="1:12" ht="15.75" customHeight="1" x14ac:dyDescent="0.25">
      <c r="A101" s="112"/>
      <c r="B101" s="101"/>
      <c r="C101" s="101"/>
      <c r="D101" s="101"/>
      <c r="E101" s="101"/>
      <c r="F101" s="101"/>
      <c r="G101" s="101"/>
      <c r="H101" s="101"/>
      <c r="I101" s="101"/>
      <c r="J101" s="101"/>
      <c r="K101" s="101"/>
      <c r="L101" s="101"/>
    </row>
    <row r="102" spans="1:12" ht="15.75" customHeight="1" x14ac:dyDescent="0.25">
      <c r="A102" s="113" t="s">
        <v>206</v>
      </c>
      <c r="B102" s="114">
        <v>0.26</v>
      </c>
      <c r="C102" s="101"/>
      <c r="D102" s="101"/>
      <c r="E102" s="101"/>
      <c r="F102" s="101"/>
      <c r="G102" s="101"/>
      <c r="H102" s="101"/>
      <c r="I102" s="101"/>
      <c r="J102" s="101"/>
      <c r="K102" s="101"/>
      <c r="L102" s="101"/>
    </row>
    <row r="103" spans="1:12" ht="15.75" customHeight="1" x14ac:dyDescent="0.25">
      <c r="A103" s="96"/>
      <c r="B103" s="96"/>
      <c r="C103" s="96"/>
      <c r="D103" s="96"/>
      <c r="E103" s="96"/>
      <c r="F103" s="96"/>
      <c r="G103" s="96"/>
      <c r="H103" s="96"/>
      <c r="I103" s="96"/>
      <c r="J103" s="96"/>
      <c r="K103" s="96"/>
      <c r="L103" s="96"/>
    </row>
    <row r="104" spans="1:12" ht="28.5" customHeight="1" x14ac:dyDescent="0.25">
      <c r="A104" s="300" t="s">
        <v>207</v>
      </c>
      <c r="I104" s="101"/>
      <c r="J104" s="101"/>
      <c r="K104" s="101"/>
      <c r="L104" s="101"/>
    </row>
    <row r="112" spans="1:12" ht="15" customHeight="1" x14ac:dyDescent="0.25">
      <c r="D112" s="330">
        <f>+'1.Project Cost and MOF'!D10</f>
        <v>450000</v>
      </c>
      <c r="E112" s="330">
        <f>+D112/5</f>
        <v>90000</v>
      </c>
      <c r="F112" s="330">
        <f>+D112-E112</f>
        <v>360000</v>
      </c>
    </row>
    <row r="113" spans="4:6" ht="15" customHeight="1" x14ac:dyDescent="0.25">
      <c r="D113" s="330">
        <f>+D112-E112</f>
        <v>360000</v>
      </c>
      <c r="E113" s="330">
        <f>+E112</f>
        <v>90000</v>
      </c>
      <c r="F113" s="330">
        <f t="shared" ref="F113:F116" si="70">+D113-E113</f>
        <v>270000</v>
      </c>
    </row>
    <row r="114" spans="4:6" ht="15" customHeight="1" x14ac:dyDescent="0.25">
      <c r="D114" s="330">
        <f>+D113-E113</f>
        <v>270000</v>
      </c>
      <c r="E114" s="330">
        <f>+E113</f>
        <v>90000</v>
      </c>
      <c r="F114" s="330">
        <f t="shared" si="70"/>
        <v>180000</v>
      </c>
    </row>
    <row r="115" spans="4:6" ht="15" customHeight="1" x14ac:dyDescent="0.25">
      <c r="D115" s="330">
        <f>+D114-E114</f>
        <v>180000</v>
      </c>
      <c r="E115" s="330">
        <f>+E114</f>
        <v>90000</v>
      </c>
      <c r="F115" s="330">
        <f t="shared" si="70"/>
        <v>90000</v>
      </c>
    </row>
    <row r="116" spans="4:6" ht="15" customHeight="1" x14ac:dyDescent="0.25">
      <c r="D116" s="330">
        <f>+D115-E115</f>
        <v>90000</v>
      </c>
      <c r="E116" s="330">
        <f>+E115</f>
        <v>90000</v>
      </c>
      <c r="F116" s="330">
        <f t="shared" si="70"/>
        <v>0</v>
      </c>
    </row>
  </sheetData>
  <printOptions horizontalCentered="1"/>
  <pageMargins left="0.25" right="0.25" top="0.75" bottom="0.75" header="0.3" footer="0.3"/>
  <pageSetup paperSize="9" scale="63" fitToHeight="0" orientation="landscape" r:id="rId1"/>
  <rowBreaks count="2" manualBreakCount="2">
    <brk id="23" max="17" man="1"/>
    <brk id="68" max="18" man="1"/>
  </rowBreaks>
  <colBreaks count="1" manualBreakCount="1">
    <brk id="11" max="10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00"/>
  <sheetViews>
    <sheetView view="pageBreakPreview" topLeftCell="A43" zoomScale="60" zoomScaleNormal="100" workbookViewId="0">
      <selection activeCell="J25" sqref="J25"/>
    </sheetView>
  </sheetViews>
  <sheetFormatPr defaultColWidth="14.42578125" defaultRowHeight="15" customHeight="1" x14ac:dyDescent="0.25"/>
  <cols>
    <col min="1" max="1" width="8.7109375" style="309" customWidth="1"/>
    <col min="2" max="2" width="15.42578125" style="309" customWidth="1"/>
    <col min="3" max="3" width="34" style="309" bestFit="1" customWidth="1"/>
    <col min="4" max="4" width="14.7109375" style="309" customWidth="1"/>
    <col min="5" max="5" width="25.85546875" style="309" customWidth="1"/>
    <col min="6" max="6" width="12.140625" style="309" customWidth="1"/>
    <col min="7" max="7" width="27.28515625" style="309" customWidth="1"/>
    <col min="8" max="8" width="11.7109375" customWidth="1"/>
    <col min="9" max="9" width="12.28515625" style="309" customWidth="1"/>
    <col min="10" max="11" width="8.7109375" customWidth="1"/>
  </cols>
  <sheetData>
    <row r="2" spans="1:15" ht="18.75" x14ac:dyDescent="0.3">
      <c r="A2" s="310" t="s">
        <v>208</v>
      </c>
      <c r="G2" s="311"/>
    </row>
    <row r="3" spans="1:15" x14ac:dyDescent="0.25">
      <c r="B3" s="313"/>
      <c r="C3" s="313"/>
      <c r="D3" s="313"/>
      <c r="E3" s="313"/>
      <c r="F3" s="313"/>
      <c r="G3" s="313"/>
    </row>
    <row r="4" spans="1:15" x14ac:dyDescent="0.25">
      <c r="A4" s="69"/>
      <c r="B4" s="69"/>
      <c r="C4" s="69" t="s">
        <v>209</v>
      </c>
      <c r="D4" s="115">
        <f>'1.Project Cost and MOF'!E20</f>
        <v>8014005.6779999984</v>
      </c>
      <c r="E4" s="69"/>
      <c r="F4" s="69"/>
      <c r="G4" s="69"/>
    </row>
    <row r="5" spans="1:15" x14ac:dyDescent="0.25">
      <c r="A5" s="69"/>
      <c r="B5" s="69"/>
      <c r="C5" s="69" t="s">
        <v>210</v>
      </c>
      <c r="D5" s="116">
        <v>0.12</v>
      </c>
      <c r="E5" s="69"/>
      <c r="F5" s="69"/>
      <c r="G5" s="69"/>
    </row>
    <row r="6" spans="1:15" x14ac:dyDescent="0.25">
      <c r="A6" s="69"/>
      <c r="B6" s="69"/>
      <c r="C6" s="69" t="s">
        <v>211</v>
      </c>
      <c r="D6" s="117">
        <v>4</v>
      </c>
      <c r="E6" s="69"/>
      <c r="F6" s="69"/>
      <c r="G6" s="69"/>
    </row>
    <row r="7" spans="1:15" x14ac:dyDescent="0.25">
      <c r="A7" s="69"/>
      <c r="B7" s="69"/>
      <c r="C7" s="69" t="s">
        <v>212</v>
      </c>
      <c r="D7" s="117">
        <v>0</v>
      </c>
      <c r="E7" s="69"/>
      <c r="F7" s="69"/>
      <c r="G7" s="69"/>
    </row>
    <row r="8" spans="1:15" x14ac:dyDescent="0.25">
      <c r="A8" s="69"/>
      <c r="B8" s="69"/>
      <c r="C8" s="69" t="s">
        <v>213</v>
      </c>
      <c r="D8" s="118">
        <f>PMT(D5/12,(D6-(D7/12))*12,-D4)</f>
        <v>211039.50667498668</v>
      </c>
      <c r="E8" s="118"/>
      <c r="F8" s="119"/>
      <c r="G8" s="69"/>
    </row>
    <row r="9" spans="1:15" x14ac:dyDescent="0.25">
      <c r="A9" s="72" t="s">
        <v>214</v>
      </c>
      <c r="B9" s="120" t="s">
        <v>215</v>
      </c>
      <c r="C9" s="121" t="s">
        <v>216</v>
      </c>
      <c r="D9" s="121" t="s">
        <v>217</v>
      </c>
      <c r="E9" s="121" t="s">
        <v>218</v>
      </c>
      <c r="F9" s="121" t="s">
        <v>213</v>
      </c>
      <c r="G9" s="121" t="s">
        <v>219</v>
      </c>
      <c r="M9" s="308">
        <f>+C10</f>
        <v>8014005.6779999984</v>
      </c>
      <c r="N9" s="308"/>
      <c r="O9" s="308"/>
    </row>
    <row r="10" spans="1:15" x14ac:dyDescent="0.25">
      <c r="A10" s="74" t="s">
        <v>220</v>
      </c>
      <c r="B10" s="74" t="s">
        <v>221</v>
      </c>
      <c r="C10" s="76">
        <f>D4</f>
        <v>8014005.6779999984</v>
      </c>
      <c r="D10" s="76">
        <f t="shared" ref="D10:D93" si="0">C10*$D$5/12</f>
        <v>80140.056779999984</v>
      </c>
      <c r="E10" s="76">
        <f t="shared" ref="E10:E93" si="1">F10-D10</f>
        <v>130899.4498949867</v>
      </c>
      <c r="F10" s="76">
        <f t="shared" ref="F10:F15" si="2">$D$8</f>
        <v>211039.50667498668</v>
      </c>
      <c r="G10" s="76">
        <f t="shared" ref="G10:G93" si="3">C10-E10</f>
        <v>7883106.2281050114</v>
      </c>
      <c r="M10" s="308">
        <f>+G21</f>
        <v>6353873.010281004</v>
      </c>
      <c r="N10" s="308">
        <f t="shared" ref="N10:O10" si="4">+H21</f>
        <v>1660132.6677189949</v>
      </c>
      <c r="O10" s="308">
        <f t="shared" si="4"/>
        <v>872341.41238084517</v>
      </c>
    </row>
    <row r="11" spans="1:15" x14ac:dyDescent="0.25">
      <c r="A11" s="74"/>
      <c r="B11" s="74" t="s">
        <v>222</v>
      </c>
      <c r="C11" s="76">
        <f t="shared" ref="C11:C93" si="5">G10</f>
        <v>7883106.2281050114</v>
      </c>
      <c r="D11" s="76">
        <f t="shared" si="0"/>
        <v>78831.062281050108</v>
      </c>
      <c r="E11" s="76">
        <f t="shared" si="1"/>
        <v>132208.44439393657</v>
      </c>
      <c r="F11" s="76">
        <f t="shared" si="2"/>
        <v>211039.50667498668</v>
      </c>
      <c r="G11" s="76">
        <f t="shared" si="3"/>
        <v>7750897.7837110749</v>
      </c>
      <c r="M11" s="308">
        <f>+G33</f>
        <v>4483193.9669554792</v>
      </c>
      <c r="N11" s="308">
        <f t="shared" ref="N11:O11" si="6">+H33</f>
        <v>1870679.0433255236</v>
      </c>
      <c r="O11" s="308">
        <f t="shared" si="6"/>
        <v>661795.03677431645</v>
      </c>
    </row>
    <row r="12" spans="1:15" x14ac:dyDescent="0.25">
      <c r="A12" s="74"/>
      <c r="B12" s="74" t="s">
        <v>223</v>
      </c>
      <c r="C12" s="76">
        <f t="shared" si="5"/>
        <v>7750897.7837110749</v>
      </c>
      <c r="D12" s="76">
        <f t="shared" si="0"/>
        <v>77508.977837110739</v>
      </c>
      <c r="E12" s="76">
        <f t="shared" si="1"/>
        <v>133530.52883787593</v>
      </c>
      <c r="F12" s="76">
        <f t="shared" si="2"/>
        <v>211039.50667498668</v>
      </c>
      <c r="G12" s="76">
        <f t="shared" si="3"/>
        <v>7617367.2548731994</v>
      </c>
      <c r="M12" s="308">
        <f>+G45</f>
        <v>2375265.9975929512</v>
      </c>
      <c r="N12" s="308">
        <f t="shared" ref="N12:O12" si="7">+H45</f>
        <v>2107927.9693625276</v>
      </c>
      <c r="O12" s="308">
        <f t="shared" si="7"/>
        <v>424546.11073731253</v>
      </c>
    </row>
    <row r="13" spans="1:15" x14ac:dyDescent="0.25">
      <c r="A13" s="74"/>
      <c r="B13" s="74" t="s">
        <v>224</v>
      </c>
      <c r="C13" s="76">
        <f t="shared" si="5"/>
        <v>7617367.2548731994</v>
      </c>
      <c r="D13" s="76">
        <f t="shared" si="0"/>
        <v>76173.672548731993</v>
      </c>
      <c r="E13" s="76">
        <f t="shared" si="1"/>
        <v>134865.83412625469</v>
      </c>
      <c r="F13" s="76">
        <f t="shared" si="2"/>
        <v>211039.50667498668</v>
      </c>
      <c r="G13" s="76">
        <f t="shared" si="3"/>
        <v>7482501.4207469448</v>
      </c>
      <c r="M13" s="308">
        <f>+G45</f>
        <v>2375265.9975929512</v>
      </c>
      <c r="N13" s="308">
        <f t="shared" ref="N13:O13" si="8">+H45</f>
        <v>2107927.9693625276</v>
      </c>
      <c r="O13" s="308">
        <f t="shared" si="8"/>
        <v>424546.11073731253</v>
      </c>
    </row>
    <row r="14" spans="1:15" x14ac:dyDescent="0.25">
      <c r="A14" s="74"/>
      <c r="B14" s="74" t="s">
        <v>225</v>
      </c>
      <c r="C14" s="76">
        <f t="shared" si="5"/>
        <v>7482501.4207469448</v>
      </c>
      <c r="D14" s="76">
        <f t="shared" si="0"/>
        <v>74825.014207469445</v>
      </c>
      <c r="E14" s="76">
        <f t="shared" si="1"/>
        <v>136214.49246751724</v>
      </c>
      <c r="F14" s="76">
        <f t="shared" si="2"/>
        <v>211039.50667498668</v>
      </c>
      <c r="G14" s="76">
        <f t="shared" si="3"/>
        <v>7346286.9282794278</v>
      </c>
      <c r="M14" s="308">
        <f>+G57</f>
        <v>-6.4028427004814148E-10</v>
      </c>
      <c r="N14" s="308">
        <f t="shared" ref="N14:O14" si="9">+H57</f>
        <v>2375265.9975929521</v>
      </c>
      <c r="O14" s="308">
        <f t="shared" si="9"/>
        <v>157208.08250688826</v>
      </c>
    </row>
    <row r="15" spans="1:15" x14ac:dyDescent="0.25">
      <c r="A15" s="74"/>
      <c r="B15" s="74" t="s">
        <v>226</v>
      </c>
      <c r="C15" s="76">
        <f t="shared" si="5"/>
        <v>7346286.9282794278</v>
      </c>
      <c r="D15" s="76">
        <f t="shared" si="0"/>
        <v>73462.869282794272</v>
      </c>
      <c r="E15" s="76">
        <f t="shared" si="1"/>
        <v>137576.63739219241</v>
      </c>
      <c r="F15" s="76">
        <f t="shared" si="2"/>
        <v>211039.50667498668</v>
      </c>
      <c r="G15" s="76">
        <f t="shared" si="3"/>
        <v>7208710.2908872357</v>
      </c>
      <c r="M15" s="308">
        <f>+G69</f>
        <v>-7.2148834189002323E-10</v>
      </c>
      <c r="N15" s="308">
        <f t="shared" ref="N15:O15" si="10">+H69</f>
        <v>8.1204071841881763E-11</v>
      </c>
      <c r="O15" s="308">
        <f t="shared" si="10"/>
        <v>-8.1204071841881763E-11</v>
      </c>
    </row>
    <row r="16" spans="1:15" x14ac:dyDescent="0.25">
      <c r="A16" s="74"/>
      <c r="B16" s="74" t="s">
        <v>227</v>
      </c>
      <c r="C16" s="76">
        <f t="shared" si="5"/>
        <v>7208710.2908872357</v>
      </c>
      <c r="D16" s="76">
        <f t="shared" si="0"/>
        <v>72087.102908872344</v>
      </c>
      <c r="E16" s="76">
        <f t="shared" si="1"/>
        <v>138952.40376611432</v>
      </c>
      <c r="F16" s="76">
        <f t="shared" ref="F16:F45" si="11">$D$8</f>
        <v>211039.50667498668</v>
      </c>
      <c r="G16" s="76">
        <f t="shared" si="3"/>
        <v>7069757.8871211214</v>
      </c>
      <c r="M16" s="308">
        <f>+G81</f>
        <v>-8.1299112259009009E-10</v>
      </c>
      <c r="N16" s="308">
        <f t="shared" ref="N16:O16" si="12">+H81</f>
        <v>9.1502780700067053E-11</v>
      </c>
      <c r="O16" s="308">
        <f t="shared" si="12"/>
        <v>-9.1502780700067053E-11</v>
      </c>
    </row>
    <row r="17" spans="1:15" x14ac:dyDescent="0.25">
      <c r="A17" s="74"/>
      <c r="B17" s="74" t="s">
        <v>228</v>
      </c>
      <c r="C17" s="76">
        <f t="shared" si="5"/>
        <v>7069757.8871211214</v>
      </c>
      <c r="D17" s="76">
        <f t="shared" si="0"/>
        <v>70697.578871211212</v>
      </c>
      <c r="E17" s="76">
        <f t="shared" si="1"/>
        <v>140341.92780377547</v>
      </c>
      <c r="F17" s="76">
        <f t="shared" si="11"/>
        <v>211039.50667498668</v>
      </c>
      <c r="G17" s="76">
        <f t="shared" si="3"/>
        <v>6929415.9593173461</v>
      </c>
      <c r="M17" s="308">
        <f>+G93</f>
        <v>-9.160987462096021E-10</v>
      </c>
      <c r="N17" s="308">
        <f t="shared" ref="N17:O17" si="13">+H93</f>
        <v>1.0310762361951206E-10</v>
      </c>
      <c r="O17" s="308">
        <f t="shared" si="13"/>
        <v>-1.0310762361951206E-10</v>
      </c>
    </row>
    <row r="18" spans="1:15" x14ac:dyDescent="0.25">
      <c r="A18" s="74"/>
      <c r="B18" s="74" t="s">
        <v>229</v>
      </c>
      <c r="C18" s="76">
        <f t="shared" si="5"/>
        <v>6929415.9593173461</v>
      </c>
      <c r="D18" s="76">
        <f t="shared" si="0"/>
        <v>69294.159593173463</v>
      </c>
      <c r="E18" s="76">
        <f t="shared" si="1"/>
        <v>141745.3470818132</v>
      </c>
      <c r="F18" s="76">
        <f t="shared" si="11"/>
        <v>211039.50667498668</v>
      </c>
      <c r="G18" s="76">
        <f t="shared" si="3"/>
        <v>6787670.6122355331</v>
      </c>
    </row>
    <row r="19" spans="1:15" x14ac:dyDescent="0.25">
      <c r="A19" s="74"/>
      <c r="B19" s="74" t="s">
        <v>230</v>
      </c>
      <c r="C19" s="76">
        <f t="shared" si="5"/>
        <v>6787670.6122355331</v>
      </c>
      <c r="D19" s="76">
        <f t="shared" si="0"/>
        <v>67876.706122355332</v>
      </c>
      <c r="E19" s="76">
        <f t="shared" si="1"/>
        <v>143162.80055263135</v>
      </c>
      <c r="F19" s="76">
        <f t="shared" si="11"/>
        <v>211039.50667498668</v>
      </c>
      <c r="G19" s="76">
        <f t="shared" si="3"/>
        <v>6644507.8116829013</v>
      </c>
    </row>
    <row r="20" spans="1:15" x14ac:dyDescent="0.25">
      <c r="A20" s="74"/>
      <c r="B20" s="74" t="s">
        <v>231</v>
      </c>
      <c r="C20" s="76">
        <f t="shared" si="5"/>
        <v>6644507.8116829013</v>
      </c>
      <c r="D20" s="76">
        <f t="shared" si="0"/>
        <v>66445.078116829012</v>
      </c>
      <c r="E20" s="76">
        <f t="shared" si="1"/>
        <v>144594.42855815767</v>
      </c>
      <c r="F20" s="76">
        <f t="shared" si="11"/>
        <v>211039.50667498668</v>
      </c>
      <c r="G20" s="76">
        <f t="shared" si="3"/>
        <v>6499913.3831247436</v>
      </c>
    </row>
    <row r="21" spans="1:15" ht="15.75" customHeight="1" x14ac:dyDescent="0.25">
      <c r="A21" s="74"/>
      <c r="B21" s="74" t="s">
        <v>232</v>
      </c>
      <c r="C21" s="76">
        <f t="shared" si="5"/>
        <v>6499913.3831247436</v>
      </c>
      <c r="D21" s="76">
        <f t="shared" si="0"/>
        <v>64999.133831247433</v>
      </c>
      <c r="E21" s="76">
        <f t="shared" si="1"/>
        <v>146040.37284373926</v>
      </c>
      <c r="F21" s="76">
        <f t="shared" si="11"/>
        <v>211039.50667498668</v>
      </c>
      <c r="G21" s="76">
        <f t="shared" si="3"/>
        <v>6353873.010281004</v>
      </c>
      <c r="H21" s="308">
        <f>SUM(E10:E21)</f>
        <v>1660132.6677189949</v>
      </c>
      <c r="I21" s="308">
        <f>SUM(D10:D21)</f>
        <v>872341.41238084517</v>
      </c>
    </row>
    <row r="22" spans="1:15" ht="15.75" customHeight="1" x14ac:dyDescent="0.25">
      <c r="A22" s="74" t="s">
        <v>233</v>
      </c>
      <c r="B22" s="74" t="s">
        <v>234</v>
      </c>
      <c r="C22" s="76">
        <f t="shared" si="5"/>
        <v>6353873.010281004</v>
      </c>
      <c r="D22" s="76">
        <f t="shared" si="0"/>
        <v>63538.730102810041</v>
      </c>
      <c r="E22" s="76">
        <f t="shared" si="1"/>
        <v>147500.77657217663</v>
      </c>
      <c r="F22" s="76">
        <f t="shared" si="11"/>
        <v>211039.50667498668</v>
      </c>
      <c r="G22" s="76">
        <f t="shared" si="3"/>
        <v>6206372.2337088278</v>
      </c>
    </row>
    <row r="23" spans="1:15" ht="15.75" customHeight="1" x14ac:dyDescent="0.25">
      <c r="A23" s="74"/>
      <c r="B23" s="74" t="s">
        <v>235</v>
      </c>
      <c r="C23" s="76">
        <f t="shared" si="5"/>
        <v>6206372.2337088278</v>
      </c>
      <c r="D23" s="76">
        <f t="shared" si="0"/>
        <v>62063.722337088278</v>
      </c>
      <c r="E23" s="76">
        <f t="shared" si="1"/>
        <v>148975.7843378984</v>
      </c>
      <c r="F23" s="76">
        <f t="shared" si="11"/>
        <v>211039.50667498668</v>
      </c>
      <c r="G23" s="76">
        <f t="shared" si="3"/>
        <v>6057396.449370929</v>
      </c>
    </row>
    <row r="24" spans="1:15" ht="15.75" customHeight="1" x14ac:dyDescent="0.25">
      <c r="A24" s="74"/>
      <c r="B24" s="74" t="s">
        <v>236</v>
      </c>
      <c r="C24" s="76">
        <f t="shared" si="5"/>
        <v>6057396.449370929</v>
      </c>
      <c r="D24" s="76">
        <f t="shared" si="0"/>
        <v>60573.964493709289</v>
      </c>
      <c r="E24" s="76">
        <f t="shared" si="1"/>
        <v>150465.54218127739</v>
      </c>
      <c r="F24" s="76">
        <f t="shared" si="11"/>
        <v>211039.50667498668</v>
      </c>
      <c r="G24" s="76">
        <f t="shared" si="3"/>
        <v>5906930.9071896514</v>
      </c>
    </row>
    <row r="25" spans="1:15" ht="15.75" customHeight="1" x14ac:dyDescent="0.25">
      <c r="A25" s="74"/>
      <c r="B25" s="74" t="s">
        <v>237</v>
      </c>
      <c r="C25" s="76">
        <f t="shared" si="5"/>
        <v>5906930.9071896514</v>
      </c>
      <c r="D25" s="76">
        <f t="shared" si="0"/>
        <v>59069.30907189651</v>
      </c>
      <c r="E25" s="76">
        <f t="shared" si="1"/>
        <v>151970.19760309017</v>
      </c>
      <c r="F25" s="76">
        <f t="shared" si="11"/>
        <v>211039.50667498668</v>
      </c>
      <c r="G25" s="76">
        <f t="shared" si="3"/>
        <v>5754960.7095865617</v>
      </c>
    </row>
    <row r="26" spans="1:15" ht="15.75" customHeight="1" x14ac:dyDescent="0.25">
      <c r="A26" s="74"/>
      <c r="B26" s="74" t="s">
        <v>238</v>
      </c>
      <c r="C26" s="76">
        <f t="shared" si="5"/>
        <v>5754960.7095865617</v>
      </c>
      <c r="D26" s="76">
        <f t="shared" si="0"/>
        <v>57549.607095865613</v>
      </c>
      <c r="E26" s="76">
        <f t="shared" si="1"/>
        <v>153489.89957912106</v>
      </c>
      <c r="F26" s="76">
        <f t="shared" si="11"/>
        <v>211039.50667498668</v>
      </c>
      <c r="G26" s="76">
        <f t="shared" si="3"/>
        <v>5601470.8100074409</v>
      </c>
    </row>
    <row r="27" spans="1:15" ht="15.75" customHeight="1" x14ac:dyDescent="0.25">
      <c r="A27" s="74"/>
      <c r="B27" s="74" t="s">
        <v>239</v>
      </c>
      <c r="C27" s="76">
        <f t="shared" si="5"/>
        <v>5601470.8100074409</v>
      </c>
      <c r="D27" s="76">
        <f t="shared" si="0"/>
        <v>56014.708100074407</v>
      </c>
      <c r="E27" s="76">
        <f t="shared" si="1"/>
        <v>155024.79857491227</v>
      </c>
      <c r="F27" s="76">
        <f t="shared" si="11"/>
        <v>211039.50667498668</v>
      </c>
      <c r="G27" s="76">
        <f t="shared" si="3"/>
        <v>5446446.0114325285</v>
      </c>
    </row>
    <row r="28" spans="1:15" ht="15.75" customHeight="1" x14ac:dyDescent="0.25">
      <c r="A28" s="74"/>
      <c r="B28" s="74" t="s">
        <v>240</v>
      </c>
      <c r="C28" s="76">
        <f t="shared" si="5"/>
        <v>5446446.0114325285</v>
      </c>
      <c r="D28" s="76">
        <f t="shared" si="0"/>
        <v>54464.46011432528</v>
      </c>
      <c r="E28" s="76">
        <f t="shared" si="1"/>
        <v>156575.0465606614</v>
      </c>
      <c r="F28" s="76">
        <f t="shared" si="11"/>
        <v>211039.50667498668</v>
      </c>
      <c r="G28" s="76">
        <f t="shared" si="3"/>
        <v>5289870.9648718666</v>
      </c>
    </row>
    <row r="29" spans="1:15" ht="15.75" customHeight="1" x14ac:dyDescent="0.25">
      <c r="A29" s="74"/>
      <c r="B29" s="74" t="s">
        <v>241</v>
      </c>
      <c r="C29" s="76">
        <f t="shared" si="5"/>
        <v>5289870.9648718666</v>
      </c>
      <c r="D29" s="76">
        <f t="shared" si="0"/>
        <v>52898.709648718657</v>
      </c>
      <c r="E29" s="76">
        <f t="shared" si="1"/>
        <v>158140.79702626803</v>
      </c>
      <c r="F29" s="76">
        <f t="shared" si="11"/>
        <v>211039.50667498668</v>
      </c>
      <c r="G29" s="76">
        <f t="shared" si="3"/>
        <v>5131730.1678455984</v>
      </c>
    </row>
    <row r="30" spans="1:15" ht="15.75" customHeight="1" x14ac:dyDescent="0.25">
      <c r="A30" s="74"/>
      <c r="B30" s="74" t="s">
        <v>242</v>
      </c>
      <c r="C30" s="76">
        <f t="shared" si="5"/>
        <v>5131730.1678455984</v>
      </c>
      <c r="D30" s="76">
        <f t="shared" si="0"/>
        <v>51317.30167845598</v>
      </c>
      <c r="E30" s="76">
        <f t="shared" si="1"/>
        <v>159722.20499653069</v>
      </c>
      <c r="F30" s="76">
        <f t="shared" si="11"/>
        <v>211039.50667498668</v>
      </c>
      <c r="G30" s="76">
        <f t="shared" si="3"/>
        <v>4972007.9628490675</v>
      </c>
    </row>
    <row r="31" spans="1:15" ht="15.75" customHeight="1" x14ac:dyDescent="0.25">
      <c r="A31" s="74"/>
      <c r="B31" s="74" t="s">
        <v>243</v>
      </c>
      <c r="C31" s="76">
        <f t="shared" si="5"/>
        <v>4972007.9628490675</v>
      </c>
      <c r="D31" s="76">
        <f t="shared" si="0"/>
        <v>49720.079628490676</v>
      </c>
      <c r="E31" s="76">
        <f t="shared" si="1"/>
        <v>161319.42704649601</v>
      </c>
      <c r="F31" s="76">
        <f t="shared" si="11"/>
        <v>211039.50667498668</v>
      </c>
      <c r="G31" s="76">
        <f t="shared" si="3"/>
        <v>4810688.5358025711</v>
      </c>
    </row>
    <row r="32" spans="1:15" ht="15.75" customHeight="1" x14ac:dyDescent="0.25">
      <c r="A32" s="74"/>
      <c r="B32" s="74" t="s">
        <v>244</v>
      </c>
      <c r="C32" s="76">
        <f t="shared" si="5"/>
        <v>4810688.5358025711</v>
      </c>
      <c r="D32" s="76">
        <f t="shared" si="0"/>
        <v>48106.885358025706</v>
      </c>
      <c r="E32" s="76">
        <f t="shared" si="1"/>
        <v>162932.62131696098</v>
      </c>
      <c r="F32" s="76">
        <f t="shared" si="11"/>
        <v>211039.50667498668</v>
      </c>
      <c r="G32" s="76">
        <f t="shared" si="3"/>
        <v>4647755.9144856101</v>
      </c>
    </row>
    <row r="33" spans="1:9" ht="15.75" customHeight="1" x14ac:dyDescent="0.25">
      <c r="A33" s="74"/>
      <c r="B33" s="74" t="s">
        <v>245</v>
      </c>
      <c r="C33" s="76">
        <f t="shared" si="5"/>
        <v>4647755.9144856101</v>
      </c>
      <c r="D33" s="76">
        <f t="shared" si="0"/>
        <v>46477.559144856095</v>
      </c>
      <c r="E33" s="76">
        <f t="shared" si="1"/>
        <v>164561.94753013059</v>
      </c>
      <c r="F33" s="76">
        <f t="shared" si="11"/>
        <v>211039.50667498668</v>
      </c>
      <c r="G33" s="76">
        <f t="shared" si="3"/>
        <v>4483193.9669554792</v>
      </c>
      <c r="H33" s="308">
        <f>SUM(E22:E33)</f>
        <v>1870679.0433255236</v>
      </c>
      <c r="I33" s="308">
        <f>SUM(D22:D33)</f>
        <v>661795.03677431645</v>
      </c>
    </row>
    <row r="34" spans="1:9" ht="15.75" customHeight="1" x14ac:dyDescent="0.25">
      <c r="A34" s="74" t="s">
        <v>246</v>
      </c>
      <c r="B34" s="74" t="s">
        <v>247</v>
      </c>
      <c r="C34" s="76">
        <f t="shared" si="5"/>
        <v>4483193.9669554792</v>
      </c>
      <c r="D34" s="76">
        <f t="shared" si="0"/>
        <v>44831.939669554791</v>
      </c>
      <c r="E34" s="76">
        <f t="shared" si="1"/>
        <v>166207.56700543189</v>
      </c>
      <c r="F34" s="76">
        <f t="shared" si="11"/>
        <v>211039.50667498668</v>
      </c>
      <c r="G34" s="76">
        <f t="shared" si="3"/>
        <v>4316986.399950047</v>
      </c>
    </row>
    <row r="35" spans="1:9" ht="15.75" customHeight="1" x14ac:dyDescent="0.25">
      <c r="A35" s="74"/>
      <c r="B35" s="74" t="s">
        <v>248</v>
      </c>
      <c r="C35" s="76">
        <f t="shared" si="5"/>
        <v>4316986.399950047</v>
      </c>
      <c r="D35" s="76">
        <f t="shared" si="0"/>
        <v>43169.863999500471</v>
      </c>
      <c r="E35" s="76">
        <f t="shared" si="1"/>
        <v>167869.64267548622</v>
      </c>
      <c r="F35" s="76">
        <f t="shared" si="11"/>
        <v>211039.50667498668</v>
      </c>
      <c r="G35" s="76">
        <f t="shared" si="3"/>
        <v>4149116.7572745606</v>
      </c>
    </row>
    <row r="36" spans="1:9" ht="15.75" customHeight="1" x14ac:dyDescent="0.25">
      <c r="A36" s="74"/>
      <c r="B36" s="74" t="s">
        <v>249</v>
      </c>
      <c r="C36" s="76">
        <f t="shared" si="5"/>
        <v>4149116.7572745606</v>
      </c>
      <c r="D36" s="76">
        <f t="shared" si="0"/>
        <v>41491.16757274561</v>
      </c>
      <c r="E36" s="76">
        <f t="shared" si="1"/>
        <v>169548.33910224107</v>
      </c>
      <c r="F36" s="76">
        <f t="shared" si="11"/>
        <v>211039.50667498668</v>
      </c>
      <c r="G36" s="76">
        <f t="shared" si="3"/>
        <v>3979568.4181723194</v>
      </c>
    </row>
    <row r="37" spans="1:9" ht="15.75" customHeight="1" x14ac:dyDescent="0.25">
      <c r="A37" s="74"/>
      <c r="B37" s="74" t="s">
        <v>250</v>
      </c>
      <c r="C37" s="76">
        <f t="shared" si="5"/>
        <v>3979568.4181723194</v>
      </c>
      <c r="D37" s="76">
        <f t="shared" si="0"/>
        <v>39795.684181723191</v>
      </c>
      <c r="E37" s="76">
        <f t="shared" si="1"/>
        <v>171243.82249326349</v>
      </c>
      <c r="F37" s="76">
        <f t="shared" si="11"/>
        <v>211039.50667498668</v>
      </c>
      <c r="G37" s="76">
        <f t="shared" si="3"/>
        <v>3808324.5956790559</v>
      </c>
    </row>
    <row r="38" spans="1:9" ht="15.75" customHeight="1" x14ac:dyDescent="0.25">
      <c r="A38" s="74"/>
      <c r="B38" s="74" t="s">
        <v>251</v>
      </c>
      <c r="C38" s="76">
        <f t="shared" si="5"/>
        <v>3808324.5956790559</v>
      </c>
      <c r="D38" s="76">
        <f t="shared" si="0"/>
        <v>38083.245956790553</v>
      </c>
      <c r="E38" s="76">
        <f t="shared" si="1"/>
        <v>172956.26071819614</v>
      </c>
      <c r="F38" s="76">
        <f t="shared" si="11"/>
        <v>211039.50667498668</v>
      </c>
      <c r="G38" s="76">
        <f t="shared" si="3"/>
        <v>3635368.3349608597</v>
      </c>
    </row>
    <row r="39" spans="1:9" ht="15.75" customHeight="1" x14ac:dyDescent="0.25">
      <c r="A39" s="74"/>
      <c r="B39" s="74" t="s">
        <v>252</v>
      </c>
      <c r="C39" s="76">
        <f t="shared" si="5"/>
        <v>3635368.3349608597</v>
      </c>
      <c r="D39" s="76">
        <f t="shared" si="0"/>
        <v>36353.683349608596</v>
      </c>
      <c r="E39" s="76">
        <f t="shared" si="1"/>
        <v>174685.82332537809</v>
      </c>
      <c r="F39" s="76">
        <f t="shared" si="11"/>
        <v>211039.50667498668</v>
      </c>
      <c r="G39" s="76">
        <f t="shared" si="3"/>
        <v>3460682.5116354818</v>
      </c>
    </row>
    <row r="40" spans="1:9" ht="15.75" customHeight="1" x14ac:dyDescent="0.25">
      <c r="A40" s="74"/>
      <c r="B40" s="74" t="s">
        <v>253</v>
      </c>
      <c r="C40" s="76">
        <f t="shared" si="5"/>
        <v>3460682.5116354818</v>
      </c>
      <c r="D40" s="76">
        <f t="shared" si="0"/>
        <v>34606.825116354819</v>
      </c>
      <c r="E40" s="76">
        <f t="shared" si="1"/>
        <v>176432.68155863186</v>
      </c>
      <c r="F40" s="76">
        <f t="shared" si="11"/>
        <v>211039.50667498668</v>
      </c>
      <c r="G40" s="76">
        <f t="shared" si="3"/>
        <v>3284249.83007685</v>
      </c>
    </row>
    <row r="41" spans="1:9" ht="15.75" customHeight="1" x14ac:dyDescent="0.25">
      <c r="A41" s="74"/>
      <c r="B41" s="74" t="s">
        <v>254</v>
      </c>
      <c r="C41" s="76">
        <f t="shared" si="5"/>
        <v>3284249.83007685</v>
      </c>
      <c r="D41" s="76">
        <f t="shared" si="0"/>
        <v>32842.4983007685</v>
      </c>
      <c r="E41" s="76">
        <f t="shared" si="1"/>
        <v>178197.00837421819</v>
      </c>
      <c r="F41" s="76">
        <f t="shared" si="11"/>
        <v>211039.50667498668</v>
      </c>
      <c r="G41" s="76">
        <f t="shared" si="3"/>
        <v>3106052.8217026317</v>
      </c>
    </row>
    <row r="42" spans="1:9" ht="15.75" customHeight="1" x14ac:dyDescent="0.25">
      <c r="A42" s="74"/>
      <c r="B42" s="74" t="s">
        <v>255</v>
      </c>
      <c r="C42" s="76">
        <f t="shared" si="5"/>
        <v>3106052.8217026317</v>
      </c>
      <c r="D42" s="76">
        <f t="shared" si="0"/>
        <v>31060.528217026313</v>
      </c>
      <c r="E42" s="76">
        <f t="shared" si="1"/>
        <v>179978.97845796036</v>
      </c>
      <c r="F42" s="76">
        <f t="shared" si="11"/>
        <v>211039.50667498668</v>
      </c>
      <c r="G42" s="76">
        <f t="shared" si="3"/>
        <v>2926073.8432446714</v>
      </c>
    </row>
    <row r="43" spans="1:9" ht="15.75" customHeight="1" x14ac:dyDescent="0.25">
      <c r="A43" s="74"/>
      <c r="B43" s="74" t="s">
        <v>256</v>
      </c>
      <c r="C43" s="76">
        <f t="shared" si="5"/>
        <v>2926073.8432446714</v>
      </c>
      <c r="D43" s="76">
        <f t="shared" si="0"/>
        <v>29260.738432446713</v>
      </c>
      <c r="E43" s="76">
        <f t="shared" si="1"/>
        <v>181778.76824253995</v>
      </c>
      <c r="F43" s="76">
        <f t="shared" si="11"/>
        <v>211039.50667498668</v>
      </c>
      <c r="G43" s="76">
        <f t="shared" si="3"/>
        <v>2744295.0750021315</v>
      </c>
    </row>
    <row r="44" spans="1:9" ht="15.75" customHeight="1" x14ac:dyDescent="0.25">
      <c r="A44" s="74"/>
      <c r="B44" s="74" t="s">
        <v>257</v>
      </c>
      <c r="C44" s="76">
        <f t="shared" si="5"/>
        <v>2744295.0750021315</v>
      </c>
      <c r="D44" s="76">
        <f t="shared" si="0"/>
        <v>27442.950750021311</v>
      </c>
      <c r="E44" s="76">
        <f t="shared" si="1"/>
        <v>183596.55592496536</v>
      </c>
      <c r="F44" s="76">
        <f t="shared" si="11"/>
        <v>211039.50667498668</v>
      </c>
      <c r="G44" s="76">
        <f t="shared" si="3"/>
        <v>2560698.519077166</v>
      </c>
    </row>
    <row r="45" spans="1:9" ht="15.75" customHeight="1" x14ac:dyDescent="0.25">
      <c r="A45" s="74"/>
      <c r="B45" s="74" t="s">
        <v>258</v>
      </c>
      <c r="C45" s="76">
        <f t="shared" si="5"/>
        <v>2560698.519077166</v>
      </c>
      <c r="D45" s="76">
        <f t="shared" si="0"/>
        <v>25606.985190771662</v>
      </c>
      <c r="E45" s="76">
        <f t="shared" si="1"/>
        <v>185432.52148421502</v>
      </c>
      <c r="F45" s="76">
        <f t="shared" si="11"/>
        <v>211039.50667498668</v>
      </c>
      <c r="G45" s="76">
        <f t="shared" si="3"/>
        <v>2375265.9975929512</v>
      </c>
      <c r="H45" s="308">
        <f>SUM(E34:E45)</f>
        <v>2107927.9693625276</v>
      </c>
      <c r="I45" s="308">
        <f>SUM(D34:D45)</f>
        <v>424546.11073731253</v>
      </c>
    </row>
    <row r="46" spans="1:9" ht="15.75" customHeight="1" x14ac:dyDescent="0.25">
      <c r="A46" s="74" t="s">
        <v>259</v>
      </c>
      <c r="B46" s="74" t="s">
        <v>260</v>
      </c>
      <c r="C46" s="76">
        <f>G45</f>
        <v>2375265.9975929512</v>
      </c>
      <c r="D46" s="76">
        <f t="shared" si="0"/>
        <v>23752.65997592951</v>
      </c>
      <c r="E46" s="76">
        <f t="shared" si="1"/>
        <v>187286.84669905718</v>
      </c>
      <c r="F46" s="76">
        <f>$D$8</f>
        <v>211039.50667498668</v>
      </c>
      <c r="G46" s="76">
        <f t="shared" si="3"/>
        <v>2187979.150893894</v>
      </c>
    </row>
    <row r="47" spans="1:9" ht="15.75" customHeight="1" x14ac:dyDescent="0.25">
      <c r="A47" s="74"/>
      <c r="B47" s="74" t="s">
        <v>261</v>
      </c>
      <c r="C47" s="76">
        <f t="shared" si="5"/>
        <v>2187979.150893894</v>
      </c>
      <c r="D47" s="76">
        <f t="shared" si="0"/>
        <v>21879.791508938939</v>
      </c>
      <c r="E47" s="76">
        <f t="shared" si="1"/>
        <v>189159.71516604774</v>
      </c>
      <c r="F47" s="76">
        <f>+F46</f>
        <v>211039.50667498668</v>
      </c>
      <c r="G47" s="76">
        <f t="shared" si="3"/>
        <v>1998819.4357278463</v>
      </c>
    </row>
    <row r="48" spans="1:9" ht="15.75" customHeight="1" x14ac:dyDescent="0.25">
      <c r="A48" s="74"/>
      <c r="B48" s="74" t="s">
        <v>262</v>
      </c>
      <c r="C48" s="76">
        <f t="shared" si="5"/>
        <v>1998819.4357278463</v>
      </c>
      <c r="D48" s="76">
        <f t="shared" si="0"/>
        <v>19988.194357278462</v>
      </c>
      <c r="E48" s="76">
        <f t="shared" si="1"/>
        <v>191051.31231770822</v>
      </c>
      <c r="F48" s="76">
        <f t="shared" ref="F48:F93" si="14">+F47</f>
        <v>211039.50667498668</v>
      </c>
      <c r="G48" s="76">
        <f t="shared" si="3"/>
        <v>1807768.1234101381</v>
      </c>
    </row>
    <row r="49" spans="1:9" ht="15.75" customHeight="1" x14ac:dyDescent="0.25">
      <c r="A49" s="74"/>
      <c r="B49" s="74" t="s">
        <v>263</v>
      </c>
      <c r="C49" s="76">
        <f t="shared" si="5"/>
        <v>1807768.1234101381</v>
      </c>
      <c r="D49" s="76">
        <f t="shared" si="0"/>
        <v>18077.681234101379</v>
      </c>
      <c r="E49" s="76">
        <f t="shared" si="1"/>
        <v>192961.8254408853</v>
      </c>
      <c r="F49" s="76">
        <f t="shared" si="14"/>
        <v>211039.50667498668</v>
      </c>
      <c r="G49" s="76">
        <f t="shared" si="3"/>
        <v>1614806.2979692528</v>
      </c>
    </row>
    <row r="50" spans="1:9" ht="15.75" customHeight="1" x14ac:dyDescent="0.25">
      <c r="A50" s="74"/>
      <c r="B50" s="74" t="s">
        <v>264</v>
      </c>
      <c r="C50" s="76">
        <f t="shared" si="5"/>
        <v>1614806.2979692528</v>
      </c>
      <c r="D50" s="76">
        <f t="shared" si="0"/>
        <v>16148.062979692528</v>
      </c>
      <c r="E50" s="76">
        <f t="shared" si="1"/>
        <v>194891.44369529415</v>
      </c>
      <c r="F50" s="76">
        <f t="shared" si="14"/>
        <v>211039.50667498668</v>
      </c>
      <c r="G50" s="76">
        <f t="shared" si="3"/>
        <v>1419914.8542739586</v>
      </c>
    </row>
    <row r="51" spans="1:9" ht="15.75" customHeight="1" x14ac:dyDescent="0.25">
      <c r="A51" s="74"/>
      <c r="B51" s="74" t="s">
        <v>265</v>
      </c>
      <c r="C51" s="76">
        <f t="shared" si="5"/>
        <v>1419914.8542739586</v>
      </c>
      <c r="D51" s="76">
        <f t="shared" si="0"/>
        <v>14199.148542739584</v>
      </c>
      <c r="E51" s="76">
        <f t="shared" si="1"/>
        <v>196840.35813224709</v>
      </c>
      <c r="F51" s="76">
        <f t="shared" si="14"/>
        <v>211039.50667498668</v>
      </c>
      <c r="G51" s="76">
        <f t="shared" si="3"/>
        <v>1223074.4961417115</v>
      </c>
    </row>
    <row r="52" spans="1:9" ht="15.75" customHeight="1" x14ac:dyDescent="0.25">
      <c r="A52" s="74"/>
      <c r="B52" s="74" t="s">
        <v>266</v>
      </c>
      <c r="C52" s="76">
        <f t="shared" si="5"/>
        <v>1223074.4961417115</v>
      </c>
      <c r="D52" s="76">
        <f t="shared" si="0"/>
        <v>12230.744961417115</v>
      </c>
      <c r="E52" s="76">
        <f t="shared" si="1"/>
        <v>198808.76171356958</v>
      </c>
      <c r="F52" s="76">
        <f t="shared" si="14"/>
        <v>211039.50667498668</v>
      </c>
      <c r="G52" s="76">
        <f t="shared" si="3"/>
        <v>1024265.734428142</v>
      </c>
    </row>
    <row r="53" spans="1:9" ht="15.75" customHeight="1" x14ac:dyDescent="0.25">
      <c r="A53" s="74"/>
      <c r="B53" s="74" t="s">
        <v>267</v>
      </c>
      <c r="C53" s="76">
        <f t="shared" si="5"/>
        <v>1024265.734428142</v>
      </c>
      <c r="D53" s="76">
        <f t="shared" si="0"/>
        <v>10242.657344281419</v>
      </c>
      <c r="E53" s="76">
        <f t="shared" si="1"/>
        <v>200796.84933070527</v>
      </c>
      <c r="F53" s="76">
        <f t="shared" si="14"/>
        <v>211039.50667498668</v>
      </c>
      <c r="G53" s="76">
        <f t="shared" si="3"/>
        <v>823468.88509743672</v>
      </c>
    </row>
    <row r="54" spans="1:9" ht="15.75" customHeight="1" x14ac:dyDescent="0.25">
      <c r="A54" s="74"/>
      <c r="B54" s="74" t="s">
        <v>268</v>
      </c>
      <c r="C54" s="76">
        <f t="shared" si="5"/>
        <v>823468.88509743672</v>
      </c>
      <c r="D54" s="76">
        <f t="shared" si="0"/>
        <v>8234.6888509743676</v>
      </c>
      <c r="E54" s="76">
        <f t="shared" si="1"/>
        <v>202804.81782401231</v>
      </c>
      <c r="F54" s="76">
        <f t="shared" si="14"/>
        <v>211039.50667498668</v>
      </c>
      <c r="G54" s="76">
        <f t="shared" si="3"/>
        <v>620664.06727342447</v>
      </c>
    </row>
    <row r="55" spans="1:9" ht="15.75" customHeight="1" x14ac:dyDescent="0.25">
      <c r="A55" s="74"/>
      <c r="B55" s="74" t="s">
        <v>269</v>
      </c>
      <c r="C55" s="76">
        <f t="shared" si="5"/>
        <v>620664.06727342447</v>
      </c>
      <c r="D55" s="76">
        <f t="shared" si="0"/>
        <v>6206.6406727342446</v>
      </c>
      <c r="E55" s="76">
        <f t="shared" si="1"/>
        <v>204832.86600225244</v>
      </c>
      <c r="F55" s="76">
        <f t="shared" si="14"/>
        <v>211039.50667498668</v>
      </c>
      <c r="G55" s="76">
        <f t="shared" si="3"/>
        <v>415831.20127117203</v>
      </c>
    </row>
    <row r="56" spans="1:9" ht="15.75" customHeight="1" x14ac:dyDescent="0.25">
      <c r="A56" s="74"/>
      <c r="B56" s="74" t="s">
        <v>270</v>
      </c>
      <c r="C56" s="76">
        <f t="shared" si="5"/>
        <v>415831.20127117203</v>
      </c>
      <c r="D56" s="76">
        <f t="shared" si="0"/>
        <v>4158.3120127117199</v>
      </c>
      <c r="E56" s="76">
        <f t="shared" si="1"/>
        <v>206881.19466227497</v>
      </c>
      <c r="F56" s="76">
        <f t="shared" si="14"/>
        <v>211039.50667498668</v>
      </c>
      <c r="G56" s="76">
        <f t="shared" si="3"/>
        <v>208950.00660889706</v>
      </c>
    </row>
    <row r="57" spans="1:9" ht="15.75" customHeight="1" x14ac:dyDescent="0.25">
      <c r="A57" s="74"/>
      <c r="B57" s="74" t="s">
        <v>271</v>
      </c>
      <c r="C57" s="76">
        <f t="shared" si="5"/>
        <v>208950.00660889706</v>
      </c>
      <c r="D57" s="76">
        <f t="shared" si="0"/>
        <v>2089.5000660889705</v>
      </c>
      <c r="E57" s="76">
        <f t="shared" si="1"/>
        <v>208950.0066088977</v>
      </c>
      <c r="F57" s="76">
        <f t="shared" si="14"/>
        <v>211039.50667498668</v>
      </c>
      <c r="G57" s="76">
        <f t="shared" si="3"/>
        <v>-6.4028427004814148E-10</v>
      </c>
      <c r="H57" s="308">
        <f>SUM(E46:E57)</f>
        <v>2375265.9975929521</v>
      </c>
      <c r="I57" s="308">
        <f>SUM(D46:D57)</f>
        <v>157208.08250688826</v>
      </c>
    </row>
    <row r="58" spans="1:9" ht="15.75" customHeight="1" x14ac:dyDescent="0.25">
      <c r="A58" s="74" t="s">
        <v>272</v>
      </c>
      <c r="B58" s="74" t="s">
        <v>273</v>
      </c>
      <c r="C58" s="76">
        <f t="shared" si="5"/>
        <v>-6.4028427004814148E-10</v>
      </c>
      <c r="D58" s="76">
        <f t="shared" si="0"/>
        <v>-6.402842700481414E-12</v>
      </c>
      <c r="E58" s="76">
        <f t="shared" si="1"/>
        <v>6.402842700481414E-12</v>
      </c>
      <c r="F58" s="76">
        <f>+F57*0</f>
        <v>0</v>
      </c>
      <c r="G58" s="76">
        <f t="shared" si="3"/>
        <v>-6.4668711274862286E-10</v>
      </c>
    </row>
    <row r="59" spans="1:9" ht="15.75" customHeight="1" x14ac:dyDescent="0.25">
      <c r="A59" s="74"/>
      <c r="B59" s="74" t="s">
        <v>274</v>
      </c>
      <c r="C59" s="76">
        <f t="shared" si="5"/>
        <v>-6.4668711274862286E-10</v>
      </c>
      <c r="D59" s="76">
        <f t="shared" si="0"/>
        <v>-6.4668711274862284E-12</v>
      </c>
      <c r="E59" s="76">
        <f t="shared" si="1"/>
        <v>6.4668711274862284E-12</v>
      </c>
      <c r="F59" s="76">
        <f t="shared" si="14"/>
        <v>0</v>
      </c>
      <c r="G59" s="76">
        <f t="shared" si="3"/>
        <v>-6.5315398387610911E-10</v>
      </c>
    </row>
    <row r="60" spans="1:9" ht="15.75" customHeight="1" x14ac:dyDescent="0.25">
      <c r="A60" s="74"/>
      <c r="B60" s="74" t="s">
        <v>275</v>
      </c>
      <c r="C60" s="76">
        <f t="shared" si="5"/>
        <v>-6.5315398387610911E-10</v>
      </c>
      <c r="D60" s="76">
        <f t="shared" si="0"/>
        <v>-6.5315398387610907E-12</v>
      </c>
      <c r="E60" s="76">
        <f t="shared" si="1"/>
        <v>6.5315398387610907E-12</v>
      </c>
      <c r="F60" s="76">
        <f t="shared" si="14"/>
        <v>0</v>
      </c>
      <c r="G60" s="76">
        <f t="shared" si="3"/>
        <v>-6.5968552371487022E-10</v>
      </c>
    </row>
    <row r="61" spans="1:9" ht="15.75" customHeight="1" x14ac:dyDescent="0.25">
      <c r="A61" s="74"/>
      <c r="B61" s="74" t="s">
        <v>276</v>
      </c>
      <c r="C61" s="76">
        <f t="shared" si="5"/>
        <v>-6.5968552371487022E-10</v>
      </c>
      <c r="D61" s="76">
        <f t="shared" si="0"/>
        <v>-6.5968552371487022E-12</v>
      </c>
      <c r="E61" s="76">
        <f t="shared" si="1"/>
        <v>6.5968552371487022E-12</v>
      </c>
      <c r="F61" s="76">
        <f t="shared" si="14"/>
        <v>0</v>
      </c>
      <c r="G61" s="76">
        <f t="shared" si="3"/>
        <v>-6.6628237895201888E-10</v>
      </c>
    </row>
    <row r="62" spans="1:9" ht="15.75" customHeight="1" x14ac:dyDescent="0.25">
      <c r="A62" s="74"/>
      <c r="B62" s="74" t="s">
        <v>277</v>
      </c>
      <c r="C62" s="76">
        <f t="shared" si="5"/>
        <v>-6.6628237895201888E-10</v>
      </c>
      <c r="D62" s="76">
        <f t="shared" si="0"/>
        <v>-6.6628237895201882E-12</v>
      </c>
      <c r="E62" s="76">
        <f t="shared" si="1"/>
        <v>6.6628237895201882E-12</v>
      </c>
      <c r="F62" s="76">
        <f t="shared" si="14"/>
        <v>0</v>
      </c>
      <c r="G62" s="76">
        <f t="shared" si="3"/>
        <v>-6.7294520274153903E-10</v>
      </c>
    </row>
    <row r="63" spans="1:9" ht="15.75" customHeight="1" x14ac:dyDescent="0.25">
      <c r="A63" s="74"/>
      <c r="B63" s="74" t="s">
        <v>278</v>
      </c>
      <c r="C63" s="76">
        <f t="shared" si="5"/>
        <v>-6.7294520274153903E-10</v>
      </c>
      <c r="D63" s="76">
        <f t="shared" si="0"/>
        <v>-6.7294520274153893E-12</v>
      </c>
      <c r="E63" s="76">
        <f t="shared" si="1"/>
        <v>6.7294520274153893E-12</v>
      </c>
      <c r="F63" s="76">
        <f t="shared" si="14"/>
        <v>0</v>
      </c>
      <c r="G63" s="76">
        <f t="shared" si="3"/>
        <v>-6.7967465476895444E-10</v>
      </c>
    </row>
    <row r="64" spans="1:9" ht="15.75" customHeight="1" x14ac:dyDescent="0.25">
      <c r="A64" s="74"/>
      <c r="B64" s="74" t="s">
        <v>279</v>
      </c>
      <c r="C64" s="76">
        <f t="shared" si="5"/>
        <v>-6.7967465476895444E-10</v>
      </c>
      <c r="D64" s="76">
        <f t="shared" si="0"/>
        <v>-6.7967465476895441E-12</v>
      </c>
      <c r="E64" s="76">
        <f t="shared" si="1"/>
        <v>6.7967465476895441E-12</v>
      </c>
      <c r="F64" s="76">
        <f t="shared" si="14"/>
        <v>0</v>
      </c>
      <c r="G64" s="76">
        <f t="shared" si="3"/>
        <v>-6.86471401316644E-10</v>
      </c>
    </row>
    <row r="65" spans="1:9" ht="15.75" customHeight="1" x14ac:dyDescent="0.25">
      <c r="A65" s="74"/>
      <c r="B65" s="74" t="s">
        <v>280</v>
      </c>
      <c r="C65" s="76">
        <f t="shared" si="5"/>
        <v>-6.86471401316644E-10</v>
      </c>
      <c r="D65" s="76">
        <f t="shared" si="0"/>
        <v>-6.8647140131664398E-12</v>
      </c>
      <c r="E65" s="76">
        <f t="shared" si="1"/>
        <v>6.8647140131664398E-12</v>
      </c>
      <c r="F65" s="76">
        <f t="shared" si="14"/>
        <v>0</v>
      </c>
      <c r="G65" s="76">
        <f t="shared" si="3"/>
        <v>-6.9333611532981042E-10</v>
      </c>
    </row>
    <row r="66" spans="1:9" ht="15.75" customHeight="1" x14ac:dyDescent="0.25">
      <c r="A66" s="74"/>
      <c r="B66" s="74" t="s">
        <v>281</v>
      </c>
      <c r="C66" s="76">
        <f t="shared" si="5"/>
        <v>-6.9333611532981042E-10</v>
      </c>
      <c r="D66" s="76">
        <f t="shared" si="0"/>
        <v>-6.9333611532981037E-12</v>
      </c>
      <c r="E66" s="76">
        <f t="shared" si="1"/>
        <v>6.9333611532981037E-12</v>
      </c>
      <c r="F66" s="76">
        <f t="shared" si="14"/>
        <v>0</v>
      </c>
      <c r="G66" s="76">
        <f t="shared" si="3"/>
        <v>-7.0026947648310851E-10</v>
      </c>
    </row>
    <row r="67" spans="1:9" ht="15.75" customHeight="1" x14ac:dyDescent="0.25">
      <c r="A67" s="74"/>
      <c r="B67" s="74" t="s">
        <v>282</v>
      </c>
      <c r="C67" s="76">
        <f t="shared" si="5"/>
        <v>-7.0026947648310851E-10</v>
      </c>
      <c r="D67" s="76">
        <f t="shared" si="0"/>
        <v>-7.0026947648310849E-12</v>
      </c>
      <c r="E67" s="76">
        <f t="shared" si="1"/>
        <v>7.0026947648310849E-12</v>
      </c>
      <c r="F67" s="76">
        <f t="shared" si="14"/>
        <v>0</v>
      </c>
      <c r="G67" s="76">
        <f t="shared" si="3"/>
        <v>-7.0727217124793961E-10</v>
      </c>
    </row>
    <row r="68" spans="1:9" ht="15.75" customHeight="1" x14ac:dyDescent="0.25">
      <c r="A68" s="74"/>
      <c r="B68" s="74" t="s">
        <v>283</v>
      </c>
      <c r="C68" s="76">
        <f t="shared" si="5"/>
        <v>-7.0727217124793961E-10</v>
      </c>
      <c r="D68" s="76">
        <f t="shared" si="0"/>
        <v>-7.0727217124793956E-12</v>
      </c>
      <c r="E68" s="76">
        <f t="shared" si="1"/>
        <v>7.0727217124793956E-12</v>
      </c>
      <c r="F68" s="76">
        <f t="shared" si="14"/>
        <v>0</v>
      </c>
      <c r="G68" s="76">
        <f t="shared" si="3"/>
        <v>-7.1434489296041903E-10</v>
      </c>
    </row>
    <row r="69" spans="1:9" ht="15.75" customHeight="1" x14ac:dyDescent="0.25">
      <c r="A69" s="74"/>
      <c r="B69" s="74" t="s">
        <v>284</v>
      </c>
      <c r="C69" s="76">
        <f t="shared" si="5"/>
        <v>-7.1434489296041903E-10</v>
      </c>
      <c r="D69" s="76">
        <f t="shared" si="0"/>
        <v>-7.1434489296041903E-12</v>
      </c>
      <c r="E69" s="76">
        <f t="shared" si="1"/>
        <v>7.1434489296041903E-12</v>
      </c>
      <c r="F69" s="76">
        <f t="shared" si="14"/>
        <v>0</v>
      </c>
      <c r="G69" s="76">
        <f t="shared" si="3"/>
        <v>-7.2148834189002323E-10</v>
      </c>
      <c r="H69" s="308">
        <f>SUM(E58:E69)</f>
        <v>8.1204071841881763E-11</v>
      </c>
      <c r="I69" s="308">
        <f>SUM(D58:D69)</f>
        <v>-8.1204071841881763E-11</v>
      </c>
    </row>
    <row r="70" spans="1:9" ht="15.75" customHeight="1" x14ac:dyDescent="0.25">
      <c r="A70" s="74" t="s">
        <v>285</v>
      </c>
      <c r="B70" s="74" t="s">
        <v>286</v>
      </c>
      <c r="C70" s="76">
        <f t="shared" si="5"/>
        <v>-7.2148834189002323E-10</v>
      </c>
      <c r="D70" s="76">
        <f t="shared" si="0"/>
        <v>-7.214883418900232E-12</v>
      </c>
      <c r="E70" s="76">
        <f t="shared" si="1"/>
        <v>7.214883418900232E-12</v>
      </c>
      <c r="F70" s="76">
        <f t="shared" si="14"/>
        <v>0</v>
      </c>
      <c r="G70" s="76">
        <f t="shared" si="3"/>
        <v>-7.2870322530892349E-10</v>
      </c>
    </row>
    <row r="71" spans="1:9" ht="15.75" customHeight="1" x14ac:dyDescent="0.25">
      <c r="A71" s="74"/>
      <c r="B71" s="74" t="s">
        <v>287</v>
      </c>
      <c r="C71" s="76">
        <f t="shared" si="5"/>
        <v>-7.2870322530892349E-10</v>
      </c>
      <c r="D71" s="76">
        <f t="shared" si="0"/>
        <v>-7.2870322530892344E-12</v>
      </c>
      <c r="E71" s="76">
        <f t="shared" si="1"/>
        <v>7.2870322530892344E-12</v>
      </c>
      <c r="F71" s="76">
        <f t="shared" si="14"/>
        <v>0</v>
      </c>
      <c r="G71" s="76">
        <f t="shared" si="3"/>
        <v>-7.3599025756201272E-10</v>
      </c>
    </row>
    <row r="72" spans="1:9" ht="15.75" customHeight="1" x14ac:dyDescent="0.25">
      <c r="A72" s="74"/>
      <c r="B72" s="74" t="s">
        <v>288</v>
      </c>
      <c r="C72" s="76">
        <f t="shared" si="5"/>
        <v>-7.3599025756201272E-10</v>
      </c>
      <c r="D72" s="76">
        <f t="shared" si="0"/>
        <v>-7.3599025756201274E-12</v>
      </c>
      <c r="E72" s="76">
        <f t="shared" si="1"/>
        <v>7.3599025756201274E-12</v>
      </c>
      <c r="F72" s="76">
        <f t="shared" si="14"/>
        <v>0</v>
      </c>
      <c r="G72" s="76">
        <f t="shared" si="3"/>
        <v>-7.4335016013763284E-10</v>
      </c>
    </row>
    <row r="73" spans="1:9" ht="15.75" customHeight="1" x14ac:dyDescent="0.25">
      <c r="A73" s="74"/>
      <c r="B73" s="74" t="s">
        <v>289</v>
      </c>
      <c r="C73" s="76">
        <f t="shared" si="5"/>
        <v>-7.4335016013763284E-10</v>
      </c>
      <c r="D73" s="76">
        <f t="shared" si="0"/>
        <v>-7.4335016013763291E-12</v>
      </c>
      <c r="E73" s="76">
        <f t="shared" si="1"/>
        <v>7.4335016013763291E-12</v>
      </c>
      <c r="F73" s="76">
        <f t="shared" si="14"/>
        <v>0</v>
      </c>
      <c r="G73" s="76">
        <f t="shared" si="3"/>
        <v>-7.5078366173900913E-10</v>
      </c>
    </row>
    <row r="74" spans="1:9" ht="15.75" customHeight="1" x14ac:dyDescent="0.25">
      <c r="A74" s="74"/>
      <c r="B74" s="74" t="s">
        <v>290</v>
      </c>
      <c r="C74" s="76">
        <f t="shared" si="5"/>
        <v>-7.5078366173900913E-10</v>
      </c>
      <c r="D74" s="76">
        <f t="shared" si="0"/>
        <v>-7.5078366173900912E-12</v>
      </c>
      <c r="E74" s="76">
        <f t="shared" si="1"/>
        <v>7.5078366173900912E-12</v>
      </c>
      <c r="F74" s="76">
        <f t="shared" si="14"/>
        <v>0</v>
      </c>
      <c r="G74" s="76">
        <f t="shared" si="3"/>
        <v>-7.5829149835639919E-10</v>
      </c>
    </row>
    <row r="75" spans="1:9" ht="15.75" customHeight="1" x14ac:dyDescent="0.25">
      <c r="A75" s="74"/>
      <c r="B75" s="74" t="s">
        <v>291</v>
      </c>
      <c r="C75" s="76">
        <f t="shared" si="5"/>
        <v>-7.5829149835639919E-10</v>
      </c>
      <c r="D75" s="76">
        <f t="shared" si="0"/>
        <v>-7.5829149835639912E-12</v>
      </c>
      <c r="E75" s="76">
        <f t="shared" si="1"/>
        <v>7.5829149835639912E-12</v>
      </c>
      <c r="F75" s="76">
        <f t="shared" si="14"/>
        <v>0</v>
      </c>
      <c r="G75" s="76">
        <f t="shared" si="3"/>
        <v>-7.6587441333996316E-10</v>
      </c>
    </row>
    <row r="76" spans="1:9" ht="15.75" customHeight="1" x14ac:dyDescent="0.25">
      <c r="A76" s="74"/>
      <c r="B76" s="74" t="s">
        <v>292</v>
      </c>
      <c r="C76" s="76">
        <f t="shared" si="5"/>
        <v>-7.6587441333996316E-10</v>
      </c>
      <c r="D76" s="76">
        <f t="shared" si="0"/>
        <v>-7.6587441333996303E-12</v>
      </c>
      <c r="E76" s="76">
        <f t="shared" si="1"/>
        <v>7.6587441333996303E-12</v>
      </c>
      <c r="F76" s="76">
        <f t="shared" si="14"/>
        <v>0</v>
      </c>
      <c r="G76" s="76">
        <f t="shared" si="3"/>
        <v>-7.7353315747336279E-10</v>
      </c>
    </row>
    <row r="77" spans="1:9" ht="15.75" customHeight="1" x14ac:dyDescent="0.25">
      <c r="A77" s="74"/>
      <c r="B77" s="74" t="s">
        <v>293</v>
      </c>
      <c r="C77" s="76">
        <f t="shared" si="5"/>
        <v>-7.7353315747336279E-10</v>
      </c>
      <c r="D77" s="76">
        <f t="shared" si="0"/>
        <v>-7.7353315747336281E-12</v>
      </c>
      <c r="E77" s="76">
        <f t="shared" si="1"/>
        <v>7.7353315747336281E-12</v>
      </c>
      <c r="F77" s="76">
        <f t="shared" si="14"/>
        <v>0</v>
      </c>
      <c r="G77" s="76">
        <f t="shared" si="3"/>
        <v>-7.812684890480964E-10</v>
      </c>
    </row>
    <row r="78" spans="1:9" ht="15.75" customHeight="1" x14ac:dyDescent="0.25">
      <c r="A78" s="74"/>
      <c r="B78" s="74" t="s">
        <v>294</v>
      </c>
      <c r="C78" s="76">
        <f t="shared" si="5"/>
        <v>-7.812684890480964E-10</v>
      </c>
      <c r="D78" s="76">
        <f t="shared" si="0"/>
        <v>-7.8126848904809644E-12</v>
      </c>
      <c r="E78" s="76">
        <f t="shared" si="1"/>
        <v>7.8126848904809644E-12</v>
      </c>
      <c r="F78" s="76">
        <f t="shared" si="14"/>
        <v>0</v>
      </c>
      <c r="G78" s="76">
        <f t="shared" si="3"/>
        <v>-7.8908117393857734E-10</v>
      </c>
    </row>
    <row r="79" spans="1:9" ht="15.75" customHeight="1" x14ac:dyDescent="0.25">
      <c r="A79" s="74"/>
      <c r="B79" s="74" t="s">
        <v>295</v>
      </c>
      <c r="C79" s="76">
        <f t="shared" si="5"/>
        <v>-7.8908117393857734E-10</v>
      </c>
      <c r="D79" s="76">
        <f t="shared" si="0"/>
        <v>-7.8908117393857733E-12</v>
      </c>
      <c r="E79" s="76">
        <f t="shared" si="1"/>
        <v>7.8908117393857733E-12</v>
      </c>
      <c r="F79" s="76">
        <f t="shared" si="14"/>
        <v>0</v>
      </c>
      <c r="G79" s="76">
        <f t="shared" si="3"/>
        <v>-7.9697198567796306E-10</v>
      </c>
    </row>
    <row r="80" spans="1:9" ht="15.75" customHeight="1" x14ac:dyDescent="0.25">
      <c r="A80" s="74"/>
      <c r="B80" s="74" t="s">
        <v>296</v>
      </c>
      <c r="C80" s="76">
        <f t="shared" si="5"/>
        <v>-7.9697198567796306E-10</v>
      </c>
      <c r="D80" s="76">
        <f t="shared" si="0"/>
        <v>-7.9697198567796297E-12</v>
      </c>
      <c r="E80" s="76">
        <f t="shared" si="1"/>
        <v>7.9697198567796297E-12</v>
      </c>
      <c r="F80" s="76">
        <f t="shared" si="14"/>
        <v>0</v>
      </c>
      <c r="G80" s="76">
        <f t="shared" si="3"/>
        <v>-8.0494170553474265E-10</v>
      </c>
    </row>
    <row r="81" spans="1:9" ht="15.75" customHeight="1" x14ac:dyDescent="0.25">
      <c r="A81" s="74"/>
      <c r="B81" s="74" t="s">
        <v>297</v>
      </c>
      <c r="C81" s="76">
        <f t="shared" si="5"/>
        <v>-8.0494170553474265E-10</v>
      </c>
      <c r="D81" s="76">
        <f t="shared" si="0"/>
        <v>-8.0494170553474256E-12</v>
      </c>
      <c r="E81" s="76">
        <f t="shared" si="1"/>
        <v>8.0494170553474256E-12</v>
      </c>
      <c r="F81" s="76">
        <f t="shared" si="14"/>
        <v>0</v>
      </c>
      <c r="G81" s="76">
        <f t="shared" si="3"/>
        <v>-8.1299112259009009E-10</v>
      </c>
      <c r="H81" s="308">
        <f>SUM(E70:E81)</f>
        <v>9.1502780700067053E-11</v>
      </c>
      <c r="I81" s="308">
        <f>SUM(D70:D81)</f>
        <v>-9.1502780700067053E-11</v>
      </c>
    </row>
    <row r="82" spans="1:9" ht="15.75" customHeight="1" x14ac:dyDescent="0.25">
      <c r="A82" s="74" t="s">
        <v>298</v>
      </c>
      <c r="B82" s="74" t="s">
        <v>299</v>
      </c>
      <c r="C82" s="76">
        <f t="shared" si="5"/>
        <v>-8.1299112259009009E-10</v>
      </c>
      <c r="D82" s="76">
        <f t="shared" si="0"/>
        <v>-8.1299112259008998E-12</v>
      </c>
      <c r="E82" s="76">
        <f t="shared" si="1"/>
        <v>8.1299112259008998E-12</v>
      </c>
      <c r="F82" s="76">
        <f>+F81*0</f>
        <v>0</v>
      </c>
      <c r="G82" s="76">
        <f t="shared" si="3"/>
        <v>-8.2112103381599095E-10</v>
      </c>
    </row>
    <row r="83" spans="1:9" ht="15.75" customHeight="1" x14ac:dyDescent="0.25">
      <c r="A83" s="74"/>
      <c r="B83" s="74" t="s">
        <v>300</v>
      </c>
      <c r="C83" s="76">
        <f t="shared" si="5"/>
        <v>-8.2112103381599095E-10</v>
      </c>
      <c r="D83" s="76">
        <f t="shared" si="0"/>
        <v>-8.2112103381599087E-12</v>
      </c>
      <c r="E83" s="76">
        <f t="shared" si="1"/>
        <v>8.2112103381599087E-12</v>
      </c>
      <c r="F83" s="76">
        <f t="shared" si="14"/>
        <v>0</v>
      </c>
      <c r="G83" s="76">
        <f t="shared" si="3"/>
        <v>-8.2933224415415089E-10</v>
      </c>
    </row>
    <row r="84" spans="1:9" ht="15.75" customHeight="1" x14ac:dyDescent="0.25">
      <c r="A84" s="74"/>
      <c r="B84" s="74" t="s">
        <v>301</v>
      </c>
      <c r="C84" s="76">
        <f t="shared" si="5"/>
        <v>-8.2933224415415089E-10</v>
      </c>
      <c r="D84" s="76">
        <f t="shared" si="0"/>
        <v>-8.2933224415415094E-12</v>
      </c>
      <c r="E84" s="76">
        <f t="shared" si="1"/>
        <v>8.2933224415415094E-12</v>
      </c>
      <c r="F84" s="76">
        <f t="shared" si="14"/>
        <v>0</v>
      </c>
      <c r="G84" s="76">
        <f t="shared" si="3"/>
        <v>-8.3762556659569243E-10</v>
      </c>
    </row>
    <row r="85" spans="1:9" ht="15.75" customHeight="1" x14ac:dyDescent="0.25">
      <c r="A85" s="74"/>
      <c r="B85" s="74" t="s">
        <v>302</v>
      </c>
      <c r="C85" s="76">
        <f t="shared" si="5"/>
        <v>-8.3762556659569243E-10</v>
      </c>
      <c r="D85" s="76">
        <f t="shared" si="0"/>
        <v>-8.3762556659569243E-12</v>
      </c>
      <c r="E85" s="76">
        <f t="shared" si="1"/>
        <v>8.3762556659569243E-12</v>
      </c>
      <c r="F85" s="76">
        <f t="shared" si="14"/>
        <v>0</v>
      </c>
      <c r="G85" s="76">
        <f t="shared" si="3"/>
        <v>-8.4600182226164933E-10</v>
      </c>
    </row>
    <row r="86" spans="1:9" ht="15.75" customHeight="1" x14ac:dyDescent="0.25">
      <c r="A86" s="74"/>
      <c r="B86" s="74" t="s">
        <v>303</v>
      </c>
      <c r="C86" s="76">
        <f t="shared" si="5"/>
        <v>-8.4600182226164933E-10</v>
      </c>
      <c r="D86" s="76">
        <f t="shared" si="0"/>
        <v>-8.4600182226164927E-12</v>
      </c>
      <c r="E86" s="76">
        <f t="shared" si="1"/>
        <v>8.4600182226164927E-12</v>
      </c>
      <c r="F86" s="76">
        <f t="shared" si="14"/>
        <v>0</v>
      </c>
      <c r="G86" s="76">
        <f t="shared" si="3"/>
        <v>-8.5446184048426585E-10</v>
      </c>
    </row>
    <row r="87" spans="1:9" ht="15.75" customHeight="1" x14ac:dyDescent="0.25">
      <c r="A87" s="74"/>
      <c r="B87" s="74" t="s">
        <v>304</v>
      </c>
      <c r="C87" s="76">
        <f t="shared" si="5"/>
        <v>-8.5446184048426585E-10</v>
      </c>
      <c r="D87" s="76">
        <f t="shared" si="0"/>
        <v>-8.5446184048426585E-12</v>
      </c>
      <c r="E87" s="76">
        <f t="shared" si="1"/>
        <v>8.5446184048426585E-12</v>
      </c>
      <c r="F87" s="76">
        <f t="shared" si="14"/>
        <v>0</v>
      </c>
      <c r="G87" s="76">
        <f t="shared" si="3"/>
        <v>-8.6300645888910848E-10</v>
      </c>
    </row>
    <row r="88" spans="1:9" ht="15.75" customHeight="1" x14ac:dyDescent="0.25">
      <c r="A88" s="74"/>
      <c r="B88" s="74" t="s">
        <v>305</v>
      </c>
      <c r="C88" s="76">
        <f t="shared" si="5"/>
        <v>-8.6300645888910848E-10</v>
      </c>
      <c r="D88" s="76">
        <f t="shared" si="0"/>
        <v>-8.6300645888910842E-12</v>
      </c>
      <c r="E88" s="76">
        <f t="shared" si="1"/>
        <v>8.6300645888910842E-12</v>
      </c>
      <c r="F88" s="76">
        <f t="shared" si="14"/>
        <v>0</v>
      </c>
      <c r="G88" s="76">
        <f t="shared" si="3"/>
        <v>-8.7163652347799959E-10</v>
      </c>
    </row>
    <row r="89" spans="1:9" ht="15.75" customHeight="1" x14ac:dyDescent="0.25">
      <c r="A89" s="74"/>
      <c r="B89" s="74" t="s">
        <v>306</v>
      </c>
      <c r="C89" s="76">
        <f t="shared" si="5"/>
        <v>-8.7163652347799959E-10</v>
      </c>
      <c r="D89" s="76">
        <f t="shared" si="0"/>
        <v>-8.7163652347799951E-12</v>
      </c>
      <c r="E89" s="76">
        <f t="shared" si="1"/>
        <v>8.7163652347799951E-12</v>
      </c>
      <c r="F89" s="76">
        <f t="shared" si="14"/>
        <v>0</v>
      </c>
      <c r="G89" s="76">
        <f t="shared" si="3"/>
        <v>-8.803528887127796E-10</v>
      </c>
    </row>
    <row r="90" spans="1:9" ht="15.75" customHeight="1" x14ac:dyDescent="0.25">
      <c r="A90" s="74"/>
      <c r="B90" s="74" t="s">
        <v>307</v>
      </c>
      <c r="C90" s="76">
        <f t="shared" si="5"/>
        <v>-8.803528887127796E-10</v>
      </c>
      <c r="D90" s="76">
        <f t="shared" si="0"/>
        <v>-8.8035288871277961E-12</v>
      </c>
      <c r="E90" s="76">
        <f t="shared" si="1"/>
        <v>8.8035288871277961E-12</v>
      </c>
      <c r="F90" s="76">
        <f t="shared" si="14"/>
        <v>0</v>
      </c>
      <c r="G90" s="76">
        <f t="shared" si="3"/>
        <v>-8.8915641759990736E-10</v>
      </c>
    </row>
    <row r="91" spans="1:9" ht="15.75" customHeight="1" x14ac:dyDescent="0.25">
      <c r="A91" s="74"/>
      <c r="B91" s="74" t="s">
        <v>308</v>
      </c>
      <c r="C91" s="76">
        <f t="shared" si="5"/>
        <v>-8.8915641759990736E-10</v>
      </c>
      <c r="D91" s="76">
        <f t="shared" si="0"/>
        <v>-8.8915641759990744E-12</v>
      </c>
      <c r="E91" s="76">
        <f t="shared" si="1"/>
        <v>8.8915641759990744E-12</v>
      </c>
      <c r="F91" s="76">
        <f t="shared" si="14"/>
        <v>0</v>
      </c>
      <c r="G91" s="76">
        <f t="shared" si="3"/>
        <v>-8.9804798177590643E-10</v>
      </c>
    </row>
    <row r="92" spans="1:9" ht="15.75" customHeight="1" x14ac:dyDescent="0.25">
      <c r="A92" s="74"/>
      <c r="B92" s="74" t="s">
        <v>309</v>
      </c>
      <c r="C92" s="76">
        <f t="shared" si="5"/>
        <v>-8.9804798177590643E-10</v>
      </c>
      <c r="D92" s="76">
        <f t="shared" si="0"/>
        <v>-8.9804798177590637E-12</v>
      </c>
      <c r="E92" s="76">
        <f t="shared" si="1"/>
        <v>8.9804798177590637E-12</v>
      </c>
      <c r="F92" s="76">
        <f t="shared" si="14"/>
        <v>0</v>
      </c>
      <c r="G92" s="76">
        <f t="shared" si="3"/>
        <v>-9.0702846159366549E-10</v>
      </c>
    </row>
    <row r="93" spans="1:9" ht="15.75" customHeight="1" x14ac:dyDescent="0.25">
      <c r="A93" s="74"/>
      <c r="B93" s="74" t="s">
        <v>310</v>
      </c>
      <c r="C93" s="76">
        <f t="shared" si="5"/>
        <v>-9.0702846159366549E-10</v>
      </c>
      <c r="D93" s="76">
        <f t="shared" si="0"/>
        <v>-9.0702846159366542E-12</v>
      </c>
      <c r="E93" s="76">
        <f t="shared" si="1"/>
        <v>9.0702846159366542E-12</v>
      </c>
      <c r="F93" s="76">
        <f t="shared" si="14"/>
        <v>0</v>
      </c>
      <c r="G93" s="76">
        <f t="shared" si="3"/>
        <v>-9.160987462096021E-10</v>
      </c>
      <c r="H93" s="308">
        <f>SUM(E82:E93)</f>
        <v>1.0310762361951206E-10</v>
      </c>
      <c r="I93" s="308">
        <f>SUM(D82:D93)</f>
        <v>-1.0310762361951206E-10</v>
      </c>
    </row>
    <row r="94" spans="1:9" ht="15.75" customHeight="1" x14ac:dyDescent="0.25">
      <c r="A94" s="69"/>
      <c r="B94" s="69"/>
      <c r="C94" s="69"/>
      <c r="D94" s="122">
        <f t="shared" ref="D94:E94" si="15">SUM(D10:D93)</f>
        <v>2115890.6423993623</v>
      </c>
      <c r="E94" s="122">
        <f t="shared" si="15"/>
        <v>8014005.6779999984</v>
      </c>
      <c r="F94" s="69"/>
      <c r="G94" s="69"/>
      <c r="H94">
        <f>SUM(H10:H93)</f>
        <v>8014005.6779999975</v>
      </c>
      <c r="I94" s="309">
        <f>SUM(I10:I93)</f>
        <v>2115890.6423993623</v>
      </c>
    </row>
    <row r="95" spans="1:9" ht="39.75" customHeight="1" x14ac:dyDescent="0.25">
      <c r="A95" s="312" t="s">
        <v>311</v>
      </c>
    </row>
    <row r="96" spans="1:9" ht="15.75" customHeight="1" x14ac:dyDescent="0.25">
      <c r="A96" s="309" t="s">
        <v>312</v>
      </c>
    </row>
    <row r="97" spans="1:2" ht="15.75" customHeight="1" x14ac:dyDescent="0.25">
      <c r="A97" s="309">
        <v>1</v>
      </c>
      <c r="B97" s="309" t="s">
        <v>313</v>
      </c>
    </row>
    <row r="98" spans="1:2" ht="15.75" customHeight="1" x14ac:dyDescent="0.25">
      <c r="A98" s="309">
        <v>2</v>
      </c>
      <c r="B98" s="309" t="s">
        <v>314</v>
      </c>
    </row>
    <row r="99" spans="1:2" ht="15.75" customHeight="1" x14ac:dyDescent="0.25"/>
    <row r="100" spans="1:2" ht="15.75" customHeight="1" x14ac:dyDescent="0.25"/>
  </sheetData>
  <printOptions horizontalCentered="1"/>
  <pageMargins left="0.25" right="0.25" top="0.75" bottom="0.75" header="0.3" footer="0.3"/>
  <pageSetup paperSize="9" scale="70" fitToHeight="0" orientation="portrait" r:id="rId1"/>
  <rowBreaks count="1" manualBreakCount="1">
    <brk id="57"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100"/>
  <sheetViews>
    <sheetView view="pageBreakPreview" topLeftCell="A43" zoomScale="60" zoomScaleNormal="100" workbookViewId="0">
      <selection activeCell="E1" sqref="E1"/>
    </sheetView>
  </sheetViews>
  <sheetFormatPr defaultColWidth="14.42578125" defaultRowHeight="15" customHeight="1" x14ac:dyDescent="0.25"/>
  <cols>
    <col min="1" max="1" width="8.7109375" customWidth="1"/>
    <col min="2" max="2" width="7.5703125" customWidth="1"/>
    <col min="3" max="3" width="30.5703125" customWidth="1"/>
    <col min="4" max="4" width="16.85546875" customWidth="1"/>
    <col min="5" max="5" width="15.85546875" customWidth="1"/>
    <col min="6" max="6" width="16" customWidth="1"/>
    <col min="7" max="7" width="16.140625" customWidth="1"/>
    <col min="8" max="8" width="17.140625" customWidth="1"/>
    <col min="9" max="9" width="19" customWidth="1"/>
    <col min="10" max="10" width="18.5703125" customWidth="1"/>
    <col min="11" max="11" width="18.28515625" customWidth="1"/>
    <col min="12" max="13" width="8.710937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8.7109375" hidden="1" customWidth="1"/>
    <col min="21" max="21" width="24" hidden="1" customWidth="1"/>
    <col min="22" max="22" width="12.5703125" hidden="1" customWidth="1"/>
  </cols>
  <sheetData>
    <row r="2" spans="3:22" ht="18.75" x14ac:dyDescent="0.3">
      <c r="C2" s="354" t="s">
        <v>315</v>
      </c>
      <c r="D2" s="338"/>
      <c r="E2" s="338"/>
      <c r="F2" s="338"/>
      <c r="G2" s="338"/>
      <c r="H2" s="338"/>
      <c r="I2" s="338"/>
      <c r="J2" s="338"/>
      <c r="K2" s="338"/>
      <c r="L2" s="123"/>
    </row>
    <row r="4" spans="3:22" x14ac:dyDescent="0.25">
      <c r="C4" s="124" t="s">
        <v>148</v>
      </c>
      <c r="D4" s="124"/>
      <c r="E4" s="125" t="s">
        <v>151</v>
      </c>
      <c r="F4" s="125" t="s">
        <v>152</v>
      </c>
      <c r="G4" s="125" t="s">
        <v>153</v>
      </c>
      <c r="H4" s="125" t="s">
        <v>154</v>
      </c>
      <c r="I4" s="125" t="s">
        <v>155</v>
      </c>
      <c r="J4" s="125" t="s">
        <v>156</v>
      </c>
      <c r="K4" s="125" t="s">
        <v>157</v>
      </c>
      <c r="L4" s="69"/>
      <c r="M4" s="69"/>
      <c r="N4" s="126"/>
      <c r="O4" s="126"/>
      <c r="P4" s="126"/>
      <c r="Q4" s="126"/>
      <c r="R4" s="126"/>
      <c r="S4" s="126"/>
      <c r="T4" s="126"/>
      <c r="U4" s="126"/>
      <c r="V4" s="126"/>
    </row>
    <row r="5" spans="3:22" x14ac:dyDescent="0.25">
      <c r="C5" s="74" t="s">
        <v>316</v>
      </c>
      <c r="D5" s="74"/>
      <c r="E5" s="74"/>
      <c r="F5" s="74"/>
      <c r="G5" s="74"/>
      <c r="H5" s="74"/>
      <c r="I5" s="74"/>
      <c r="J5" s="74"/>
      <c r="K5" s="74"/>
      <c r="L5" s="69"/>
      <c r="M5" s="69"/>
      <c r="N5" s="367" t="s">
        <v>317</v>
      </c>
      <c r="O5" s="363"/>
      <c r="P5" s="363"/>
      <c r="Q5" s="363"/>
      <c r="R5" s="364"/>
      <c r="S5" s="126"/>
      <c r="T5" s="126"/>
      <c r="U5" s="367" t="s">
        <v>318</v>
      </c>
      <c r="V5" s="364"/>
    </row>
    <row r="6" spans="3:22" x14ac:dyDescent="0.25">
      <c r="C6" s="74" t="s">
        <v>319</v>
      </c>
      <c r="D6" s="127"/>
      <c r="E6" s="74"/>
      <c r="F6" s="76">
        <f t="shared" ref="F6:K6" si="0">E15</f>
        <v>188650</v>
      </c>
      <c r="G6" s="76">
        <f t="shared" si="0"/>
        <v>247603.125</v>
      </c>
      <c r="H6" s="76">
        <f t="shared" si="0"/>
        <v>311979.9375</v>
      </c>
      <c r="I6" s="76">
        <f t="shared" si="0"/>
        <v>382175.42343750008</v>
      </c>
      <c r="J6" s="76">
        <f t="shared" si="0"/>
        <v>458610.50812500011</v>
      </c>
      <c r="K6" s="76">
        <f t="shared" si="0"/>
        <v>541733.66272265639</v>
      </c>
      <c r="L6" s="69"/>
      <c r="M6" s="69"/>
      <c r="N6" s="373" t="s">
        <v>320</v>
      </c>
      <c r="O6" s="371"/>
      <c r="P6" s="371"/>
      <c r="Q6" s="371"/>
      <c r="R6" s="353"/>
      <c r="S6" s="126"/>
      <c r="T6" s="126"/>
      <c r="U6" s="373" t="s">
        <v>320</v>
      </c>
      <c r="V6" s="353"/>
    </row>
    <row r="7" spans="3:22" x14ac:dyDescent="0.25">
      <c r="C7" s="74" t="s">
        <v>321</v>
      </c>
      <c r="D7" s="127"/>
      <c r="E7" s="74"/>
      <c r="F7" s="76">
        <f t="shared" ref="F7:K7" si="1">E16</f>
        <v>209422.32500000001</v>
      </c>
      <c r="G7" s="76">
        <f t="shared" si="1"/>
        <v>274866.80156250001</v>
      </c>
      <c r="H7" s="76">
        <f t="shared" si="1"/>
        <v>346332.16996875004</v>
      </c>
      <c r="I7" s="76">
        <f t="shared" si="1"/>
        <v>424256.90821171878</v>
      </c>
      <c r="J7" s="76">
        <f t="shared" si="1"/>
        <v>509108.28985406255</v>
      </c>
      <c r="K7" s="76">
        <f t="shared" si="1"/>
        <v>601384.16739011148</v>
      </c>
      <c r="L7" s="69"/>
      <c r="M7" s="69"/>
      <c r="N7" s="128" t="s">
        <v>148</v>
      </c>
      <c r="O7" s="128" t="s">
        <v>322</v>
      </c>
      <c r="P7" s="128" t="s">
        <v>323</v>
      </c>
      <c r="Q7" s="128" t="s">
        <v>324</v>
      </c>
      <c r="R7" s="128" t="s">
        <v>325</v>
      </c>
      <c r="S7" s="126"/>
      <c r="T7" s="126"/>
      <c r="U7" s="129" t="s">
        <v>148</v>
      </c>
      <c r="V7" s="129" t="s">
        <v>326</v>
      </c>
    </row>
    <row r="8" spans="3:22" x14ac:dyDescent="0.25">
      <c r="C8" s="74" t="s">
        <v>327</v>
      </c>
      <c r="D8" s="127"/>
      <c r="E8" s="74"/>
      <c r="F8" s="76">
        <f t="shared" ref="F8:K8" si="2">E17</f>
        <v>673750</v>
      </c>
      <c r="G8" s="76">
        <f t="shared" si="2"/>
        <v>778181.25</v>
      </c>
      <c r="H8" s="76">
        <f t="shared" si="2"/>
        <v>891371.25000000023</v>
      </c>
      <c r="I8" s="76">
        <f t="shared" si="2"/>
        <v>1013934.7968750005</v>
      </c>
      <c r="J8" s="76">
        <f t="shared" si="2"/>
        <v>1146526.2703125004</v>
      </c>
      <c r="K8" s="76">
        <f t="shared" si="2"/>
        <v>1289842.0541015631</v>
      </c>
      <c r="L8" s="69"/>
      <c r="M8" s="69"/>
      <c r="N8" s="130" t="s">
        <v>328</v>
      </c>
      <c r="O8" s="131">
        <f>'13.Facility 2 Grain Processing'!C152</f>
        <v>5500</v>
      </c>
      <c r="P8" s="131">
        <f>'13.Facility 2 Grain Processing'!C153</f>
        <v>0</v>
      </c>
      <c r="Q8" s="131">
        <f>'13.Facility 2 Grain Processing'!C154</f>
        <v>0</v>
      </c>
      <c r="R8" s="131">
        <f>'13.Facility 2 Grain Processing'!C155</f>
        <v>0</v>
      </c>
      <c r="S8" s="126"/>
      <c r="T8" s="126"/>
      <c r="U8" s="130" t="s">
        <v>329</v>
      </c>
      <c r="V8" s="131">
        <f>'17.Facility 6 Horti Processing '!C163</f>
        <v>6000</v>
      </c>
    </row>
    <row r="9" spans="3:22" x14ac:dyDescent="0.25">
      <c r="C9" s="74" t="str">
        <f>C18</f>
        <v xml:space="preserve">Horticulture Processing </v>
      </c>
      <c r="D9" s="74"/>
      <c r="E9" s="74"/>
      <c r="F9" s="76">
        <f t="shared" ref="F9:K9" si="3">E18</f>
        <v>0</v>
      </c>
      <c r="G9" s="76">
        <f t="shared" si="3"/>
        <v>0</v>
      </c>
      <c r="H9" s="76">
        <f t="shared" si="3"/>
        <v>0</v>
      </c>
      <c r="I9" s="76">
        <f t="shared" si="3"/>
        <v>0</v>
      </c>
      <c r="J9" s="76">
        <f t="shared" si="3"/>
        <v>0</v>
      </c>
      <c r="K9" s="76">
        <f t="shared" si="3"/>
        <v>0</v>
      </c>
      <c r="L9" s="69"/>
      <c r="M9" s="69"/>
      <c r="N9" s="130" t="str">
        <f>'13.Facility 2 Grain Processing'!A156</f>
        <v>Oil (Liters)</v>
      </c>
      <c r="O9" s="130">
        <f>('13.Facility 2 Grain Processing'!B156*'13.Facility 2 Grain Processing'!C156/1000)*100</f>
        <v>20</v>
      </c>
      <c r="P9" s="130">
        <f t="shared" ref="P9:R9" si="4">O9</f>
        <v>20</v>
      </c>
      <c r="Q9" s="130">
        <f t="shared" si="4"/>
        <v>20</v>
      </c>
      <c r="R9" s="130">
        <f t="shared" si="4"/>
        <v>20</v>
      </c>
      <c r="S9" s="126"/>
      <c r="T9" s="126"/>
      <c r="U9" s="130" t="str">
        <f>'17.Facility 6 Horti Processing '!A164</f>
        <v>Other Consumbales</v>
      </c>
      <c r="V9" s="132">
        <f>'17.Facility 6 Horti Processing '!C164</f>
        <v>2000</v>
      </c>
    </row>
    <row r="10" spans="3:22" x14ac:dyDescent="0.25">
      <c r="C10" s="74"/>
      <c r="D10" s="74"/>
      <c r="E10" s="74"/>
      <c r="F10" s="76"/>
      <c r="G10" s="76"/>
      <c r="H10" s="76"/>
      <c r="I10" s="76"/>
      <c r="J10" s="76"/>
      <c r="K10" s="76"/>
      <c r="L10" s="69"/>
      <c r="M10" s="69"/>
      <c r="N10" s="130" t="str">
        <f>'13.Facility 2 Grain Processing'!A157</f>
        <v xml:space="preserve">Daily Labour </v>
      </c>
      <c r="O10" s="133">
        <f>('13.Facility 2 Grain Processing'!B157*'13.Facility 2 Grain Processing'!C157)/('13.Facility 2 Grain Processing'!B5*'13.Facility 2 Grain Processing'!B6)</f>
        <v>1125</v>
      </c>
      <c r="P10" s="133">
        <f t="shared" ref="P10:R10" si="5">O10</f>
        <v>1125</v>
      </c>
      <c r="Q10" s="133">
        <f t="shared" si="5"/>
        <v>1125</v>
      </c>
      <c r="R10" s="133">
        <f t="shared" si="5"/>
        <v>1125</v>
      </c>
      <c r="S10" s="126"/>
      <c r="T10" s="126"/>
      <c r="U10" s="130" t="str">
        <f>'17.Facility 6 Horti Processing '!A165</f>
        <v xml:space="preserve">Daily Labour </v>
      </c>
      <c r="V10" s="132">
        <f>'17.Facility 6 Horti Processing '!B165*'17.Facility 6 Horti Processing '!C165/('17.Facility 6 Horti Processing '!B5*'17.Facility 6 Horti Processing '!B6)</f>
        <v>3.75</v>
      </c>
    </row>
    <row r="11" spans="3:22" x14ac:dyDescent="0.25">
      <c r="C11" s="74"/>
      <c r="D11" s="74"/>
      <c r="E11" s="74"/>
      <c r="F11" s="76"/>
      <c r="G11" s="76"/>
      <c r="H11" s="76"/>
      <c r="I11" s="76"/>
      <c r="J11" s="76"/>
      <c r="K11" s="76"/>
      <c r="L11" s="69"/>
      <c r="M11" s="69"/>
      <c r="N11" s="130" t="str">
        <f>'13.Facility 2 Grain Processing'!A158</f>
        <v>Electricity Charges</v>
      </c>
      <c r="O11" s="133">
        <f>('13.Facility 2 Grain Processing'!B158*'13.Facility 2 Grain Processing'!C158)/('13.Facility 2 Grain Processing'!B5*'13.Facility 2 Grain Processing'!B6)</f>
        <v>612.5</v>
      </c>
      <c r="P11" s="133">
        <f t="shared" ref="P11:R11" si="6">O11</f>
        <v>612.5</v>
      </c>
      <c r="Q11" s="133">
        <f t="shared" si="6"/>
        <v>612.5</v>
      </c>
      <c r="R11" s="133">
        <f t="shared" si="6"/>
        <v>612.5</v>
      </c>
      <c r="S11" s="126"/>
      <c r="T11" s="126"/>
      <c r="U11" s="130" t="str">
        <f>'17.Facility 6 Horti Processing '!A166</f>
        <v>Electricity Charges</v>
      </c>
      <c r="V11" s="130">
        <f>'17.Facility 6 Horti Processing '!B166*'17.Facility 6 Horti Processing '!C166/('17.Facility 6 Horti Processing '!B5*'17.Facility 6 Horti Processing '!B6)</f>
        <v>0</v>
      </c>
    </row>
    <row r="12" spans="3:22" x14ac:dyDescent="0.25">
      <c r="C12" s="74" t="s">
        <v>88</v>
      </c>
      <c r="D12" s="74"/>
      <c r="E12" s="76"/>
      <c r="F12" s="76">
        <f t="shared" ref="F12:K12" si="7">SUM(F6:F11)</f>
        <v>1071822.325</v>
      </c>
      <c r="G12" s="76">
        <f t="shared" si="7"/>
        <v>1300651.1765625</v>
      </c>
      <c r="H12" s="76">
        <f t="shared" si="7"/>
        <v>1549683.3574687503</v>
      </c>
      <c r="I12" s="76">
        <f t="shared" si="7"/>
        <v>1820367.1285242194</v>
      </c>
      <c r="J12" s="76">
        <f t="shared" si="7"/>
        <v>2114245.0682915631</v>
      </c>
      <c r="K12" s="76">
        <f t="shared" si="7"/>
        <v>2432959.8842143309</v>
      </c>
      <c r="L12" s="69"/>
      <c r="M12" s="69"/>
      <c r="N12" s="130" t="str">
        <f>'13.Facility 2 Grain Processing'!A159</f>
        <v>Loading/Unloading Charges</v>
      </c>
      <c r="O12" s="130">
        <f>'13.Facility 2 Grain Processing'!C159*2</f>
        <v>50</v>
      </c>
      <c r="P12" s="130">
        <f t="shared" ref="P12:R12" si="8">O12</f>
        <v>50</v>
      </c>
      <c r="Q12" s="130">
        <f t="shared" si="8"/>
        <v>50</v>
      </c>
      <c r="R12" s="130">
        <f t="shared" si="8"/>
        <v>50</v>
      </c>
      <c r="S12" s="126"/>
      <c r="T12" s="126"/>
      <c r="U12" s="130" t="str">
        <f>'17.Facility 6 Horti Processing '!A167</f>
        <v>Loading/Unloading Charges</v>
      </c>
      <c r="V12" s="130">
        <f>'17.Facility 6 Horti Processing '!C167</f>
        <v>10</v>
      </c>
    </row>
    <row r="13" spans="3:22" x14ac:dyDescent="0.25">
      <c r="C13" s="74"/>
      <c r="D13" s="74"/>
      <c r="E13" s="74"/>
      <c r="F13" s="76"/>
      <c r="G13" s="76"/>
      <c r="H13" s="76"/>
      <c r="I13" s="76"/>
      <c r="J13" s="76"/>
      <c r="K13" s="76"/>
      <c r="L13" s="69"/>
      <c r="M13" s="69"/>
      <c r="N13" s="130" t="str">
        <f>'13.Facility 2 Grain Processing'!A160</f>
        <v>packaging Exp</v>
      </c>
      <c r="O13" s="130">
        <f>'13.Facility 2 Grain Processing'!C160*2</f>
        <v>50</v>
      </c>
      <c r="P13" s="130">
        <f t="shared" ref="P13:R13" si="9">O13</f>
        <v>50</v>
      </c>
      <c r="Q13" s="130">
        <f t="shared" si="9"/>
        <v>50</v>
      </c>
      <c r="R13" s="130">
        <f t="shared" si="9"/>
        <v>50</v>
      </c>
      <c r="S13" s="126"/>
      <c r="T13" s="126"/>
      <c r="U13" s="130" t="str">
        <f>'17.Facility 6 Horti Processing '!A168</f>
        <v>packaging Exp</v>
      </c>
      <c r="V13" s="134">
        <f>'17.Facility 6 Horti Processing '!C168*100</f>
        <v>200</v>
      </c>
    </row>
    <row r="14" spans="3:22" x14ac:dyDescent="0.25">
      <c r="C14" s="77" t="s">
        <v>330</v>
      </c>
      <c r="D14" s="74"/>
      <c r="E14" s="74"/>
      <c r="F14" s="76"/>
      <c r="G14" s="76"/>
      <c r="H14" s="76"/>
      <c r="I14" s="76"/>
      <c r="J14" s="76"/>
      <c r="K14" s="76"/>
      <c r="L14" s="69"/>
      <c r="M14" s="69"/>
      <c r="N14" s="130"/>
      <c r="O14" s="134"/>
      <c r="P14" s="134"/>
      <c r="Q14" s="134"/>
      <c r="R14" s="134"/>
      <c r="S14" s="126"/>
      <c r="T14" s="126"/>
      <c r="U14" s="134"/>
      <c r="V14" s="134"/>
    </row>
    <row r="15" spans="3:22" x14ac:dyDescent="0.25">
      <c r="C15" s="74" t="str">
        <f t="shared" ref="C15:C17" si="10">C6</f>
        <v>Agri Input</v>
      </c>
      <c r="D15" s="135">
        <v>0.05</v>
      </c>
      <c r="E15" s="76">
        <f>SUM('16.Facility 5 Agri Input'!D197:D252)*$D$15</f>
        <v>188650</v>
      </c>
      <c r="F15" s="76">
        <f>SUM('16.Facility 5 Agri Input'!E197:E252)*$D$15</f>
        <v>247603.125</v>
      </c>
      <c r="G15" s="76">
        <f>SUM('16.Facility 5 Agri Input'!F197:F252)*$D$15</f>
        <v>311979.9375</v>
      </c>
      <c r="H15" s="76">
        <f>SUM('16.Facility 5 Agri Input'!G197:G252)*$D$15</f>
        <v>382175.42343750008</v>
      </c>
      <c r="I15" s="76">
        <f>SUM('16.Facility 5 Agri Input'!H197:H252)*$D$15</f>
        <v>458610.50812500011</v>
      </c>
      <c r="J15" s="76">
        <f>SUM('16.Facility 5 Agri Input'!I197:I252)*$D$15</f>
        <v>541733.66272265639</v>
      </c>
      <c r="K15" s="76">
        <f>SUM('16.Facility 5 Agri Input'!J197:J252)*$D$15</f>
        <v>632022.60650976596</v>
      </c>
      <c r="L15" s="69"/>
      <c r="M15" s="69"/>
      <c r="N15" s="134"/>
      <c r="O15" s="134"/>
      <c r="P15" s="134"/>
      <c r="Q15" s="134"/>
      <c r="R15" s="134"/>
      <c r="U15" s="134"/>
      <c r="V15" s="134"/>
    </row>
    <row r="16" spans="3:22" x14ac:dyDescent="0.25">
      <c r="C16" s="74" t="str">
        <f t="shared" si="10"/>
        <v>Trading</v>
      </c>
      <c r="D16" s="135">
        <v>0.05</v>
      </c>
      <c r="E16" s="76">
        <f>SUM('12.Facility 1 - Trading'!D233:D284)*$D$16</f>
        <v>209422.32500000001</v>
      </c>
      <c r="F16" s="76">
        <f>SUM('12.Facility 1 - Trading'!E233:E284)*$D$16</f>
        <v>274866.80156250001</v>
      </c>
      <c r="G16" s="76">
        <f>SUM('12.Facility 1 - Trading'!F233:F284)*$D$16</f>
        <v>346332.16996875004</v>
      </c>
      <c r="H16" s="76">
        <f>SUM('12.Facility 1 - Trading'!G233:G284)*$D$16</f>
        <v>424256.90821171878</v>
      </c>
      <c r="I16" s="76">
        <f>SUM('12.Facility 1 - Trading'!H233:H284)*$D$16</f>
        <v>509108.28985406255</v>
      </c>
      <c r="J16" s="76">
        <f>SUM('12.Facility 1 - Trading'!I233:I284)*$D$16</f>
        <v>601384.16739011148</v>
      </c>
      <c r="K16" s="76">
        <f>SUM('12.Facility 1 - Trading'!J233:J284)*$D$16</f>
        <v>701614.86195513012</v>
      </c>
      <c r="L16" s="69"/>
      <c r="M16" s="69"/>
      <c r="N16" s="128" t="s">
        <v>331</v>
      </c>
      <c r="O16" s="136">
        <f t="shared" ref="O16:R16" si="11">SUM(O8:O13)</f>
        <v>7357.5</v>
      </c>
      <c r="P16" s="136">
        <f t="shared" si="11"/>
        <v>1857.5</v>
      </c>
      <c r="Q16" s="136">
        <f t="shared" si="11"/>
        <v>1857.5</v>
      </c>
      <c r="R16" s="136">
        <f t="shared" si="11"/>
        <v>1857.5</v>
      </c>
      <c r="U16" s="128" t="s">
        <v>88</v>
      </c>
      <c r="V16" s="136">
        <f>SUM(V8:V15)</f>
        <v>8213.75</v>
      </c>
    </row>
    <row r="17" spans="1:18" x14ac:dyDescent="0.25">
      <c r="C17" s="74" t="str">
        <f t="shared" si="10"/>
        <v xml:space="preserve">Grain Processing </v>
      </c>
      <c r="D17" s="135">
        <v>0.05</v>
      </c>
      <c r="E17" s="76">
        <f>SUM('13.Facility 2 Grain Processing'!D152:D156)*$D$17</f>
        <v>673750</v>
      </c>
      <c r="F17" s="76">
        <f>SUM('13.Facility 2 Grain Processing'!E152:E156)*$D$17</f>
        <v>778181.25</v>
      </c>
      <c r="G17" s="76">
        <f>SUM('13.Facility 2 Grain Processing'!F152:F156)*$D$17</f>
        <v>891371.25000000023</v>
      </c>
      <c r="H17" s="76">
        <f>SUM('13.Facility 2 Grain Processing'!G152:G156)*$D$17</f>
        <v>1013934.7968750005</v>
      </c>
      <c r="I17" s="76">
        <f>SUM('13.Facility 2 Grain Processing'!H152:H156)*$D$17</f>
        <v>1146526.2703125004</v>
      </c>
      <c r="J17" s="76">
        <f>SUM('13.Facility 2 Grain Processing'!I152:I156)*$D$17</f>
        <v>1289842.0541015631</v>
      </c>
      <c r="K17" s="76">
        <f>SUM('13.Facility 2 Grain Processing'!J152:J156)*$D$17</f>
        <v>1444623.1005937511</v>
      </c>
      <c r="L17" s="69"/>
      <c r="M17" s="69"/>
    </row>
    <row r="18" spans="1:18" x14ac:dyDescent="0.25">
      <c r="C18" s="74" t="s">
        <v>332</v>
      </c>
      <c r="D18" s="135">
        <v>0.05</v>
      </c>
      <c r="E18" s="76">
        <f>SUM('17.Facility 6 Horti Processing '!D163:D168)*$D$18</f>
        <v>0</v>
      </c>
      <c r="F18" s="76">
        <f>SUM('17.Facility 6 Horti Processing '!E163:E168)*$D$18</f>
        <v>0</v>
      </c>
      <c r="G18" s="76">
        <f>SUM('17.Facility 6 Horti Processing '!F163:F168)*$D$18</f>
        <v>0</v>
      </c>
      <c r="H18" s="76">
        <f>SUM('17.Facility 6 Horti Processing '!G163:G168)*$D$18</f>
        <v>0</v>
      </c>
      <c r="I18" s="76">
        <f>SUM('17.Facility 6 Horti Processing '!H163:H168)*$D$18</f>
        <v>0</v>
      </c>
      <c r="J18" s="76">
        <f>SUM('17.Facility 6 Horti Processing '!I163:I168)*$D$18</f>
        <v>0</v>
      </c>
      <c r="K18" s="76">
        <f>SUM('17.Facility 6 Horti Processing '!J163:J168)*$D$18</f>
        <v>0</v>
      </c>
      <c r="L18" s="69"/>
      <c r="M18" s="69"/>
    </row>
    <row r="19" spans="1:18" x14ac:dyDescent="0.25">
      <c r="C19" s="74"/>
      <c r="D19" s="137"/>
      <c r="E19" s="76"/>
      <c r="F19" s="76"/>
      <c r="G19" s="76"/>
      <c r="H19" s="76"/>
      <c r="I19" s="76"/>
      <c r="J19" s="76"/>
      <c r="K19" s="76"/>
      <c r="L19" s="69"/>
      <c r="M19" s="69"/>
    </row>
    <row r="20" spans="1:18" x14ac:dyDescent="0.25">
      <c r="C20" s="74"/>
      <c r="D20" s="74"/>
      <c r="E20" s="74"/>
      <c r="F20" s="76"/>
      <c r="G20" s="76"/>
      <c r="H20" s="76"/>
      <c r="I20" s="76"/>
      <c r="J20" s="76"/>
      <c r="K20" s="76"/>
      <c r="L20" s="69"/>
      <c r="M20" s="69"/>
    </row>
    <row r="21" spans="1:18" ht="15.75" customHeight="1" x14ac:dyDescent="0.25">
      <c r="C21" s="74" t="s">
        <v>88</v>
      </c>
      <c r="D21" s="74"/>
      <c r="E21" s="76">
        <f t="shared" ref="E21:K21" si="12">SUM(E15:E20)</f>
        <v>1071822.325</v>
      </c>
      <c r="F21" s="76">
        <f t="shared" si="12"/>
        <v>1300651.1765625</v>
      </c>
      <c r="G21" s="76">
        <f t="shared" si="12"/>
        <v>1549683.3574687503</v>
      </c>
      <c r="H21" s="76">
        <f t="shared" si="12"/>
        <v>1820367.1285242194</v>
      </c>
      <c r="I21" s="76">
        <f t="shared" si="12"/>
        <v>2114245.0682915631</v>
      </c>
      <c r="J21" s="76">
        <f t="shared" si="12"/>
        <v>2432959.8842143309</v>
      </c>
      <c r="K21" s="76">
        <f t="shared" si="12"/>
        <v>2778260.5690586474</v>
      </c>
      <c r="L21" s="69"/>
      <c r="M21" s="69"/>
    </row>
    <row r="22" spans="1:18" ht="15.75" customHeight="1" x14ac:dyDescent="0.25">
      <c r="C22" s="69"/>
      <c r="D22" s="69"/>
      <c r="E22" s="69"/>
      <c r="F22" s="69"/>
      <c r="G22" s="69"/>
      <c r="H22" s="69"/>
      <c r="I22" s="69"/>
      <c r="J22" s="69"/>
      <c r="K22" s="69"/>
      <c r="L22" s="69"/>
      <c r="M22" s="69"/>
    </row>
    <row r="23" spans="1:18" ht="40.5" customHeight="1" x14ac:dyDescent="0.25">
      <c r="A23" s="359" t="s">
        <v>333</v>
      </c>
      <c r="B23" s="338"/>
      <c r="C23" s="338"/>
      <c r="D23" s="338"/>
      <c r="E23" s="338"/>
      <c r="F23" s="338"/>
      <c r="G23" s="338"/>
      <c r="H23" s="338"/>
      <c r="I23" s="338"/>
      <c r="J23" s="338"/>
      <c r="K23" s="338"/>
      <c r="L23" s="138"/>
      <c r="M23" s="138"/>
      <c r="N23" s="138"/>
      <c r="O23" s="139"/>
      <c r="P23" s="139"/>
      <c r="Q23" s="139"/>
      <c r="R23" s="139"/>
    </row>
    <row r="24" spans="1:18" ht="15.75" customHeight="1" x14ac:dyDescent="0.25">
      <c r="A24" t="s">
        <v>312</v>
      </c>
    </row>
    <row r="25" spans="1:18" ht="15.75" customHeight="1" x14ac:dyDescent="0.25">
      <c r="A25">
        <v>1</v>
      </c>
      <c r="B25" t="s">
        <v>334</v>
      </c>
    </row>
    <row r="26" spans="1:18" ht="15.75" customHeight="1" x14ac:dyDescent="0.25"/>
    <row r="27" spans="1:18" ht="15.75" customHeight="1" x14ac:dyDescent="0.25"/>
    <row r="28" spans="1:18" ht="15.75" customHeight="1" x14ac:dyDescent="0.3">
      <c r="B28" s="354" t="s">
        <v>335</v>
      </c>
      <c r="C28" s="338"/>
      <c r="D28" s="338"/>
      <c r="E28" s="338"/>
      <c r="F28" s="338"/>
      <c r="G28" s="338"/>
      <c r="H28" s="338"/>
      <c r="I28" s="338"/>
      <c r="J28" s="338"/>
      <c r="K28" s="338"/>
    </row>
    <row r="29" spans="1:18" ht="15.75" customHeight="1" x14ac:dyDescent="0.25"/>
    <row r="30" spans="1:18" ht="15.75" customHeight="1" x14ac:dyDescent="0.25">
      <c r="B30" s="368" t="s">
        <v>81</v>
      </c>
      <c r="C30" s="368" t="s">
        <v>148</v>
      </c>
      <c r="D30" s="369" t="s">
        <v>336</v>
      </c>
      <c r="E30" s="370" t="s">
        <v>83</v>
      </c>
      <c r="F30" s="371"/>
      <c r="G30" s="371"/>
      <c r="H30" s="371"/>
      <c r="I30" s="371"/>
      <c r="J30" s="371"/>
      <c r="K30" s="353"/>
    </row>
    <row r="31" spans="1:18" ht="15.75" customHeight="1" x14ac:dyDescent="0.25">
      <c r="B31" s="348"/>
      <c r="C31" s="348"/>
      <c r="D31" s="348"/>
      <c r="E31" s="38" t="s">
        <v>151</v>
      </c>
      <c r="F31" s="38" t="s">
        <v>152</v>
      </c>
      <c r="G31" s="38" t="s">
        <v>153</v>
      </c>
      <c r="H31" s="38" t="s">
        <v>154</v>
      </c>
      <c r="I31" s="38" t="s">
        <v>155</v>
      </c>
      <c r="J31" s="38" t="s">
        <v>156</v>
      </c>
      <c r="K31" s="38" t="s">
        <v>157</v>
      </c>
    </row>
    <row r="32" spans="1:18" ht="15.75" customHeight="1" x14ac:dyDescent="0.25">
      <c r="B32" s="140"/>
      <c r="C32" s="141"/>
      <c r="D32" s="141"/>
      <c r="E32" s="142"/>
      <c r="F32" s="142"/>
      <c r="G32" s="142"/>
      <c r="H32" s="142"/>
      <c r="I32" s="142"/>
      <c r="J32" s="142"/>
      <c r="K32" s="142"/>
    </row>
    <row r="33" spans="2:11" ht="15.75" customHeight="1" x14ac:dyDescent="0.25">
      <c r="B33" s="143" t="s">
        <v>19</v>
      </c>
      <c r="C33" s="144" t="s">
        <v>337</v>
      </c>
      <c r="D33" s="52"/>
      <c r="E33" s="145"/>
      <c r="F33" s="145"/>
      <c r="G33" s="145"/>
      <c r="H33" s="145"/>
      <c r="I33" s="145"/>
      <c r="J33" s="145"/>
      <c r="K33" s="145"/>
    </row>
    <row r="34" spans="2:11" ht="15.75" customHeight="1" x14ac:dyDescent="0.25">
      <c r="B34" s="146">
        <v>1</v>
      </c>
      <c r="C34" s="147" t="s">
        <v>319</v>
      </c>
      <c r="D34" s="52">
        <v>14</v>
      </c>
      <c r="E34" s="145">
        <f>('16.Facility 5 Agri Input'!D191/365)*$D$34</f>
        <v>160693.15068493152</v>
      </c>
      <c r="F34" s="145">
        <f>('16.Facility 5 Agri Input'!E191/365)*$D$34</f>
        <v>219790.17123287672</v>
      </c>
      <c r="G34" s="145">
        <f>('16.Facility 5 Agri Input'!F191/365)*$D$34</f>
        <v>277401.83732876711</v>
      </c>
      <c r="H34" s="145">
        <f>('16.Facility 5 Agri Input'!G191/365)*$D$34</f>
        <v>340225.19460616441</v>
      </c>
      <c r="I34" s="145">
        <f>('16.Facility 5 Agri Input'!H191/365)*$D$34</f>
        <v>408637.38301797956</v>
      </c>
      <c r="J34" s="145">
        <f>('16.Facility 5 Agri Input'!I191/365)*$D$34</f>
        <v>483040.22728446074</v>
      </c>
      <c r="K34" s="145">
        <f>('16.Facility 5 Agri Input'!J191/365)*$D$34</f>
        <v>563861.76252004516</v>
      </c>
    </row>
    <row r="35" spans="2:11" ht="15.75" customHeight="1" x14ac:dyDescent="0.25">
      <c r="B35" s="146">
        <v>2</v>
      </c>
      <c r="C35" s="147" t="s">
        <v>133</v>
      </c>
      <c r="D35" s="52">
        <v>14</v>
      </c>
      <c r="E35" s="145">
        <f>('15. Facility 4 Custom Hiring'!E39/365)*$D$35</f>
        <v>0</v>
      </c>
      <c r="F35" s="145">
        <f>('15. Facility 4 Custom Hiring'!F39/365)*$D$35</f>
        <v>0</v>
      </c>
      <c r="G35" s="145">
        <f>('15. Facility 4 Custom Hiring'!G39/365)*$D$35</f>
        <v>0</v>
      </c>
      <c r="H35" s="145">
        <f>('15. Facility 4 Custom Hiring'!H39/365)*$D$35</f>
        <v>0</v>
      </c>
      <c r="I35" s="145">
        <f>('15. Facility 4 Custom Hiring'!I39/365)*$D$35</f>
        <v>0</v>
      </c>
      <c r="J35" s="145">
        <f>('15. Facility 4 Custom Hiring'!J39/365)*$D$35</f>
        <v>0</v>
      </c>
      <c r="K35" s="145">
        <f>('15. Facility 4 Custom Hiring'!K39/365)*$D$35</f>
        <v>0</v>
      </c>
    </row>
    <row r="36" spans="2:11" ht="15.75" customHeight="1" x14ac:dyDescent="0.25">
      <c r="B36" s="146">
        <v>3</v>
      </c>
      <c r="C36" s="147" t="s">
        <v>136</v>
      </c>
      <c r="D36" s="52">
        <v>14</v>
      </c>
      <c r="E36" s="145">
        <f>('12.Facility 1 - Trading'!D229/365)*$D$36</f>
        <v>156812.08219178079</v>
      </c>
      <c r="F36" s="145">
        <f>('12.Facility 1 - Trading'!E229/365)*$D$36</f>
        <v>214429.85650684926</v>
      </c>
      <c r="G36" s="145">
        <f>('12.Facility 1 - Trading'!F229/365)*$D$36</f>
        <v>270633.85412671237</v>
      </c>
      <c r="H36" s="145">
        <f>('12.Facility 1 - Trading'!G229/365)*$D$36</f>
        <v>331922.17686729453</v>
      </c>
      <c r="I36" s="145">
        <f>('12.Facility 1 - Trading'!H229/365)*$D$36</f>
        <v>398662.74724661809</v>
      </c>
      <c r="J36" s="145">
        <f>('12.Facility 1 - Trading'!I229/365)*$D$36</f>
        <v>471247.5692217059</v>
      </c>
      <c r="K36" s="145">
        <f>('12.Facility 1 - Trading'!J229/365)*$D$36</f>
        <v>550094.21652618609</v>
      </c>
    </row>
    <row r="37" spans="2:11" ht="15.75" customHeight="1" x14ac:dyDescent="0.25">
      <c r="B37" s="146">
        <v>4</v>
      </c>
      <c r="C37" s="147" t="s">
        <v>338</v>
      </c>
      <c r="D37" s="52">
        <v>14</v>
      </c>
      <c r="E37" s="145">
        <f>('13.Facility 2 Grain Processing'!D148/365)*$D$37</f>
        <v>1057262.2602739725</v>
      </c>
      <c r="F37" s="145">
        <f>('13.Facility 2 Grain Processing'!E148/365)*$D$37</f>
        <v>1221137.9106164384</v>
      </c>
      <c r="G37" s="145">
        <f>('13.Facility 2 Grain Processing'!F148/365)*$D$37</f>
        <v>1398757.9703424661</v>
      </c>
      <c r="H37" s="145">
        <f>('13.Facility 2 Grain Processing'!G148/365)*$D$37</f>
        <v>1591087.1912645553</v>
      </c>
      <c r="I37" s="145">
        <f>('13.Facility 2 Grain Processing'!H148/365)*$D$37</f>
        <v>1799152.4393529976</v>
      </c>
      <c r="J37" s="145">
        <f>('13.Facility 2 Grain Processing'!I148/365)*$D$37</f>
        <v>2024046.4942721222</v>
      </c>
      <c r="K37" s="145">
        <f>('13.Facility 2 Grain Processing'!J148/365)*$D$37</f>
        <v>2266932.0735847773</v>
      </c>
    </row>
    <row r="38" spans="2:11" ht="15.75" customHeight="1" x14ac:dyDescent="0.25">
      <c r="B38" s="146">
        <v>5</v>
      </c>
      <c r="C38" s="147" t="s">
        <v>339</v>
      </c>
      <c r="D38" s="52">
        <v>14</v>
      </c>
      <c r="E38" s="145">
        <f>('14. Facility 3 Warehouse'!D23/365)*$D$38</f>
        <v>0</v>
      </c>
      <c r="F38" s="145">
        <f>('14. Facility 3 Warehouse'!E23/365)*$D$38</f>
        <v>0</v>
      </c>
      <c r="G38" s="145">
        <f>('14. Facility 3 Warehouse'!F23/365)*$D$38</f>
        <v>0</v>
      </c>
      <c r="H38" s="145">
        <f>('14. Facility 3 Warehouse'!G23/365)*$D$38</f>
        <v>0</v>
      </c>
      <c r="I38" s="145">
        <f>('14. Facility 3 Warehouse'!H23/365)*$D$38</f>
        <v>0</v>
      </c>
      <c r="J38" s="145">
        <f>('14. Facility 3 Warehouse'!I23/365)*$D$38</f>
        <v>0</v>
      </c>
      <c r="K38" s="145">
        <f>('14. Facility 3 Warehouse'!J23/365)*$D$38</f>
        <v>0</v>
      </c>
    </row>
    <row r="39" spans="2:11" ht="15.75" customHeight="1" x14ac:dyDescent="0.25">
      <c r="B39" s="146">
        <v>6</v>
      </c>
      <c r="C39" s="147" t="s">
        <v>340</v>
      </c>
      <c r="D39" s="52">
        <v>14</v>
      </c>
      <c r="E39" s="145">
        <f>('17.Facility 6 Horti Processing '!D159/365)*$D$39</f>
        <v>0</v>
      </c>
      <c r="F39" s="145">
        <f>('17.Facility 6 Horti Processing '!E159/365)*$D$39</f>
        <v>0</v>
      </c>
      <c r="G39" s="145">
        <f>('17.Facility 6 Horti Processing '!F159/365)*$D$39</f>
        <v>0</v>
      </c>
      <c r="H39" s="145">
        <f>('17.Facility 6 Horti Processing '!G159/365)*$D$39</f>
        <v>0</v>
      </c>
      <c r="I39" s="145">
        <f>('17.Facility 6 Horti Processing '!H159/365)*$D$39</f>
        <v>0</v>
      </c>
      <c r="J39" s="145">
        <f>('17.Facility 6 Horti Processing '!I159/365)*$D$39</f>
        <v>0</v>
      </c>
      <c r="K39" s="145">
        <f>('17.Facility 6 Horti Processing '!J159/365)*$D$39</f>
        <v>0</v>
      </c>
    </row>
    <row r="40" spans="2:11" ht="15.75" customHeight="1" x14ac:dyDescent="0.25">
      <c r="B40" s="146"/>
      <c r="C40" s="147"/>
      <c r="D40" s="52"/>
      <c r="E40" s="145"/>
      <c r="F40" s="145"/>
      <c r="G40" s="145"/>
      <c r="H40" s="145"/>
      <c r="I40" s="145"/>
      <c r="J40" s="145"/>
      <c r="K40" s="145"/>
    </row>
    <row r="41" spans="2:11" ht="15.75" customHeight="1" x14ac:dyDescent="0.25">
      <c r="B41" s="143"/>
      <c r="C41" s="144" t="s">
        <v>134</v>
      </c>
      <c r="D41" s="52"/>
      <c r="E41" s="145">
        <f t="shared" ref="E41:K41" si="13">SUM(E34:E40)</f>
        <v>1374767.493150685</v>
      </c>
      <c r="F41" s="145">
        <f t="shared" si="13"/>
        <v>1655357.9383561644</v>
      </c>
      <c r="G41" s="145">
        <f t="shared" si="13"/>
        <v>1946793.6617979456</v>
      </c>
      <c r="H41" s="145">
        <f t="shared" si="13"/>
        <v>2263234.5627380144</v>
      </c>
      <c r="I41" s="145">
        <f t="shared" si="13"/>
        <v>2606452.5696175955</v>
      </c>
      <c r="J41" s="145">
        <f t="shared" si="13"/>
        <v>2978334.2907782886</v>
      </c>
      <c r="K41" s="145">
        <f t="shared" si="13"/>
        <v>3380888.0526310084</v>
      </c>
    </row>
    <row r="42" spans="2:11" ht="15.75" customHeight="1" x14ac:dyDescent="0.25">
      <c r="B42" s="143" t="s">
        <v>61</v>
      </c>
      <c r="C42" s="144" t="s">
        <v>330</v>
      </c>
      <c r="D42" s="52"/>
      <c r="E42" s="145">
        <f>'5.Closing Stock &amp; W Capital'!E21</f>
        <v>1071822.325</v>
      </c>
      <c r="F42" s="145">
        <f>'5.Closing Stock &amp; W Capital'!F21</f>
        <v>1300651.1765625</v>
      </c>
      <c r="G42" s="145">
        <f>'5.Closing Stock &amp; W Capital'!G21</f>
        <v>1549683.3574687503</v>
      </c>
      <c r="H42" s="145">
        <f>'5.Closing Stock &amp; W Capital'!H21</f>
        <v>1820367.1285242194</v>
      </c>
      <c r="I42" s="145">
        <f>'5.Closing Stock &amp; W Capital'!I21</f>
        <v>2114245.0682915631</v>
      </c>
      <c r="J42" s="145">
        <f>'5.Closing Stock &amp; W Capital'!J21</f>
        <v>2432959.8842143309</v>
      </c>
      <c r="K42" s="145">
        <f>'5.Closing Stock &amp; W Capital'!K21</f>
        <v>2778260.5690586474</v>
      </c>
    </row>
    <row r="43" spans="2:11" ht="15.75" customHeight="1" x14ac:dyDescent="0.25">
      <c r="B43" s="143"/>
      <c r="C43" s="147"/>
      <c r="D43" s="52"/>
      <c r="E43" s="145"/>
      <c r="F43" s="145"/>
      <c r="G43" s="145"/>
      <c r="H43" s="145"/>
      <c r="I43" s="145"/>
      <c r="J43" s="145"/>
      <c r="K43" s="145"/>
    </row>
    <row r="44" spans="2:11" ht="15.75" customHeight="1" x14ac:dyDescent="0.25">
      <c r="B44" s="361" t="s">
        <v>88</v>
      </c>
      <c r="C44" s="343"/>
      <c r="D44" s="148"/>
      <c r="E44" s="149">
        <f t="shared" ref="E44:K44" si="14">SUM(E41:E42)</f>
        <v>2446589.8181506852</v>
      </c>
      <c r="F44" s="149">
        <f t="shared" si="14"/>
        <v>2956009.1149186641</v>
      </c>
      <c r="G44" s="149">
        <f t="shared" si="14"/>
        <v>3496477.0192666957</v>
      </c>
      <c r="H44" s="149">
        <f t="shared" si="14"/>
        <v>4083601.691262234</v>
      </c>
      <c r="I44" s="149">
        <f t="shared" si="14"/>
        <v>4720697.6379091591</v>
      </c>
      <c r="J44" s="149">
        <f t="shared" si="14"/>
        <v>5411294.1749926191</v>
      </c>
      <c r="K44" s="149">
        <f t="shared" si="14"/>
        <v>6159148.6216896558</v>
      </c>
    </row>
    <row r="45" spans="2:11" ht="15.75" customHeight="1" x14ac:dyDescent="0.25">
      <c r="B45" s="143"/>
      <c r="C45" s="144"/>
      <c r="D45" s="52"/>
      <c r="E45" s="145"/>
      <c r="F45" s="145"/>
      <c r="G45" s="145"/>
      <c r="H45" s="145"/>
      <c r="I45" s="145"/>
      <c r="J45" s="145"/>
      <c r="K45" s="145"/>
    </row>
    <row r="46" spans="2:11" ht="34.5" customHeight="1" x14ac:dyDescent="0.25">
      <c r="B46" s="143" t="s">
        <v>135</v>
      </c>
      <c r="C46" s="147" t="s">
        <v>341</v>
      </c>
      <c r="D46" s="52"/>
      <c r="E46" s="145"/>
      <c r="F46" s="145"/>
      <c r="G46" s="145"/>
      <c r="H46" s="145"/>
      <c r="I46" s="145"/>
      <c r="J46" s="145"/>
      <c r="K46" s="145"/>
    </row>
    <row r="47" spans="2:11" ht="15.75" customHeight="1" x14ac:dyDescent="0.25">
      <c r="B47" s="146">
        <v>1</v>
      </c>
      <c r="C47" s="147" t="str">
        <f t="shared" ref="C47:C52" si="15">C34</f>
        <v>Agri Input</v>
      </c>
      <c r="D47" s="52">
        <v>7</v>
      </c>
      <c r="E47" s="145">
        <f>('16.Facility 5 Agri Input'!D262/365)*$D$47</f>
        <v>76971.079452054793</v>
      </c>
      <c r="F47" s="145">
        <f>('16.Facility 5 Agri Input'!E262/365)*$D$47</f>
        <v>104642.48698630136</v>
      </c>
      <c r="G47" s="145">
        <f>('16.Facility 5 Agri Input'!F262/365)*$D$47</f>
        <v>132039.47572602739</v>
      </c>
      <c r="H47" s="145">
        <f>('16.Facility 5 Agri Input'!G262/365)*$D$47</f>
        <v>161914.55712226027</v>
      </c>
      <c r="I47" s="145">
        <f>('16.Facility 5 Agri Input'!H262/365)*$D$47</f>
        <v>194447.04796880143</v>
      </c>
      <c r="J47" s="145">
        <f>('16.Facility 5 Agri Input'!I262/365)*$D$47</f>
        <v>229828.00150719099</v>
      </c>
      <c r="K47" s="145">
        <f>('16.Facility 5 Agri Input'!J262/365)*$D$47</f>
        <v>268260.93277949758</v>
      </c>
    </row>
    <row r="48" spans="2:11" ht="15.75" customHeight="1" x14ac:dyDescent="0.25">
      <c r="B48" s="146">
        <v>2</v>
      </c>
      <c r="C48" s="147" t="str">
        <f t="shared" si="15"/>
        <v>Custom Hiring</v>
      </c>
      <c r="D48" s="52">
        <v>7</v>
      </c>
      <c r="E48" s="145">
        <f>('15. Facility 4 Custom Hiring'!E49/365)*$D$49</f>
        <v>0</v>
      </c>
      <c r="F48" s="145">
        <f>('15. Facility 4 Custom Hiring'!F49/365)*$D$49</f>
        <v>0</v>
      </c>
      <c r="G48" s="145">
        <f>('15. Facility 4 Custom Hiring'!G49/365)*$D$49</f>
        <v>0</v>
      </c>
      <c r="H48" s="145">
        <f>('15. Facility 4 Custom Hiring'!H49/365)*$D$49</f>
        <v>0</v>
      </c>
      <c r="I48" s="145">
        <f>('15. Facility 4 Custom Hiring'!I49/365)*$D$49</f>
        <v>0</v>
      </c>
      <c r="J48" s="145">
        <f>('15. Facility 4 Custom Hiring'!J49/365)*$D$49</f>
        <v>0</v>
      </c>
      <c r="K48" s="145">
        <f>('15. Facility 4 Custom Hiring'!K49/365)*$D$49</f>
        <v>0</v>
      </c>
    </row>
    <row r="49" spans="1:12" ht="15.75" customHeight="1" x14ac:dyDescent="0.25">
      <c r="B49" s="146">
        <v>3</v>
      </c>
      <c r="C49" s="147" t="str">
        <f t="shared" si="15"/>
        <v>Cleaning &amp; Grading</v>
      </c>
      <c r="D49" s="52">
        <v>7</v>
      </c>
      <c r="E49" s="145">
        <f>('12.Facility 1 - Trading'!D292/365)*$D$49</f>
        <v>76583.512945205468</v>
      </c>
      <c r="F49" s="145">
        <f>('12.Facility 1 - Trading'!E292/365)*$D$49</f>
        <v>104532.17930222602</v>
      </c>
      <c r="G49" s="145">
        <f>('12.Facility 1 - Trading'!F292/365)*$D$49</f>
        <v>131921.40264529109</v>
      </c>
      <c r="H49" s="145">
        <f>('12.Facility 1 - Trading'!G292/365)*$D$49</f>
        <v>161788.21787440713</v>
      </c>
      <c r="I49" s="145">
        <f>('12.Facility 1 - Trading'!H292/365)*$D$49</f>
        <v>194311.91111982151</v>
      </c>
      <c r="J49" s="145">
        <f>('12.Facility 1 - Trading'!I292/365)*$D$49</f>
        <v>229683.50314509135</v>
      </c>
      <c r="K49" s="145">
        <f>('12.Facility 1 - Trading'!J292/365)*$D$49</f>
        <v>268106.47459508863</v>
      </c>
    </row>
    <row r="50" spans="1:12" ht="15.75" customHeight="1" x14ac:dyDescent="0.25">
      <c r="B50" s="146">
        <v>4</v>
      </c>
      <c r="C50" s="147" t="str">
        <f t="shared" si="15"/>
        <v>Dal Mill</v>
      </c>
      <c r="D50" s="52">
        <v>7</v>
      </c>
      <c r="E50" s="145">
        <f>('13.Facility 2 Grain Processing'!D169/365)*$D$50</f>
        <v>399882.79109589045</v>
      </c>
      <c r="F50" s="145">
        <f>('13.Facility 2 Grain Processing'!E169/365)*$D$50</f>
        <v>474785.85659246577</v>
      </c>
      <c r="G50" s="145">
        <f>('13.Facility 2 Grain Processing'!F169/365)*$D$50</f>
        <v>543968.95659246587</v>
      </c>
      <c r="H50" s="145">
        <f>('13.Facility 2 Grain Processing'!G169/365)*$D$50</f>
        <v>618883.40195098473</v>
      </c>
      <c r="I50" s="145">
        <f>('13.Facility 2 Grain Processing'!H169/365)*$D$50</f>
        <v>699929.3694538743</v>
      </c>
      <c r="J50" s="145">
        <f>('13.Facility 2 Grain Processing'!I169/365)*$D$50</f>
        <v>787532.72520217544</v>
      </c>
      <c r="K50" s="145">
        <f>('13.Facility 2 Grain Processing'!J169/365)*$D$50</f>
        <v>882146.59310167213</v>
      </c>
    </row>
    <row r="51" spans="1:12" ht="15.75" customHeight="1" x14ac:dyDescent="0.25">
      <c r="B51" s="146">
        <v>5</v>
      </c>
      <c r="C51" s="147" t="str">
        <f t="shared" si="15"/>
        <v>Warehouse</v>
      </c>
      <c r="D51" s="52">
        <v>7</v>
      </c>
      <c r="E51" s="145">
        <f>('14. Facility 3 Warehouse'!D34/365)*$D$51</f>
        <v>0</v>
      </c>
      <c r="F51" s="145">
        <f>('14. Facility 3 Warehouse'!E34/365)*$D$51</f>
        <v>0</v>
      </c>
      <c r="G51" s="145">
        <f>('14. Facility 3 Warehouse'!F34/365)*$D$51</f>
        <v>0</v>
      </c>
      <c r="H51" s="145">
        <f>('14. Facility 3 Warehouse'!G34/365)*$D$51</f>
        <v>0</v>
      </c>
      <c r="I51" s="145">
        <f>('14. Facility 3 Warehouse'!H34/365)*$D$51</f>
        <v>0</v>
      </c>
      <c r="J51" s="145">
        <f>('14. Facility 3 Warehouse'!I34/365)*$D$51</f>
        <v>0</v>
      </c>
      <c r="K51" s="145">
        <f>('14. Facility 3 Warehouse'!J34/365)*$D$51</f>
        <v>0</v>
      </c>
    </row>
    <row r="52" spans="1:12" ht="15.75" customHeight="1" x14ac:dyDescent="0.25">
      <c r="B52" s="146"/>
      <c r="C52" s="147" t="str">
        <f t="shared" si="15"/>
        <v>Processing Unit - Horti Commodity</v>
      </c>
      <c r="D52" s="52">
        <v>7</v>
      </c>
      <c r="E52" s="145">
        <f>('17.Facility 6 Horti Processing '!D177/365)*$D$52</f>
        <v>0</v>
      </c>
      <c r="F52" s="145">
        <f>('17.Facility 6 Horti Processing '!E177/365)*$D$52</f>
        <v>0</v>
      </c>
      <c r="G52" s="145">
        <f>('17.Facility 6 Horti Processing '!F177/365)*$D$52</f>
        <v>0</v>
      </c>
      <c r="H52" s="145">
        <f>('17.Facility 6 Horti Processing '!G177/365)*$D$52</f>
        <v>0</v>
      </c>
      <c r="I52" s="145">
        <f>('17.Facility 6 Horti Processing '!H177/365)*$D$52</f>
        <v>0</v>
      </c>
      <c r="J52" s="145">
        <f>('17.Facility 6 Horti Processing '!I177/365)*$D$52</f>
        <v>0</v>
      </c>
      <c r="K52" s="145">
        <f>('17.Facility 6 Horti Processing '!J177/365)*$D$52</f>
        <v>0</v>
      </c>
    </row>
    <row r="53" spans="1:12" ht="15.75" customHeight="1" x14ac:dyDescent="0.25">
      <c r="B53" s="146"/>
      <c r="C53" s="147"/>
      <c r="D53" s="52"/>
      <c r="E53" s="145"/>
      <c r="F53" s="145"/>
      <c r="G53" s="145"/>
      <c r="H53" s="145"/>
      <c r="I53" s="145"/>
      <c r="J53" s="145"/>
      <c r="K53" s="145"/>
    </row>
    <row r="54" spans="1:12" ht="15.75" customHeight="1" x14ac:dyDescent="0.25">
      <c r="B54" s="150"/>
      <c r="C54" s="144" t="s">
        <v>88</v>
      </c>
      <c r="D54" s="52"/>
      <c r="E54" s="149">
        <f t="shared" ref="E54:K54" si="16">SUM(E47:E53)</f>
        <v>553437.3834931507</v>
      </c>
      <c r="F54" s="149">
        <f t="shared" si="16"/>
        <v>683960.52288099308</v>
      </c>
      <c r="G54" s="149">
        <f t="shared" si="16"/>
        <v>807929.83496378432</v>
      </c>
      <c r="H54" s="149">
        <f t="shared" si="16"/>
        <v>942586.17694765213</v>
      </c>
      <c r="I54" s="149">
        <f t="shared" si="16"/>
        <v>1088688.3285424972</v>
      </c>
      <c r="J54" s="149">
        <f t="shared" si="16"/>
        <v>1247044.2298544578</v>
      </c>
      <c r="K54" s="149">
        <f t="shared" si="16"/>
        <v>1418514.0004762583</v>
      </c>
    </row>
    <row r="55" spans="1:12" ht="15.75" customHeight="1" x14ac:dyDescent="0.25">
      <c r="B55" s="143" t="s">
        <v>137</v>
      </c>
      <c r="C55" s="144" t="s">
        <v>87</v>
      </c>
      <c r="D55" s="52"/>
      <c r="E55" s="149">
        <f t="shared" ref="E55:K55" si="17">E44-E54</f>
        <v>1893152.4346575346</v>
      </c>
      <c r="F55" s="149">
        <f t="shared" si="17"/>
        <v>2272048.5920376712</v>
      </c>
      <c r="G55" s="149">
        <f t="shared" si="17"/>
        <v>2688547.1843029112</v>
      </c>
      <c r="H55" s="149">
        <f t="shared" si="17"/>
        <v>3141015.5143145816</v>
      </c>
      <c r="I55" s="149">
        <f t="shared" si="17"/>
        <v>3632009.3093666621</v>
      </c>
      <c r="J55" s="149">
        <f t="shared" si="17"/>
        <v>4164249.9451381611</v>
      </c>
      <c r="K55" s="149">
        <f t="shared" si="17"/>
        <v>4740634.621213397</v>
      </c>
    </row>
    <row r="56" spans="1:12" ht="15.75" customHeight="1" x14ac:dyDescent="0.25">
      <c r="B56" s="143"/>
      <c r="C56" s="144" t="s">
        <v>93</v>
      </c>
      <c r="D56" s="151">
        <v>0.25</v>
      </c>
      <c r="E56" s="149">
        <f>E55*$D$56</f>
        <v>473288.10866438365</v>
      </c>
      <c r="F56" s="149"/>
      <c r="G56" s="149"/>
      <c r="H56" s="149"/>
      <c r="I56" s="149"/>
      <c r="J56" s="149"/>
      <c r="K56" s="149"/>
    </row>
    <row r="57" spans="1:12" ht="15.75" customHeight="1" x14ac:dyDescent="0.25"/>
    <row r="58" spans="1:12" ht="15.75" customHeight="1" x14ac:dyDescent="0.25">
      <c r="E58" s="152"/>
    </row>
    <row r="59" spans="1:12" ht="36.75" customHeight="1" x14ac:dyDescent="0.25">
      <c r="A59" s="372" t="s">
        <v>342</v>
      </c>
      <c r="B59" s="338"/>
      <c r="C59" s="338"/>
      <c r="D59" s="338"/>
      <c r="E59" s="338"/>
      <c r="F59" s="338"/>
      <c r="G59" s="338"/>
      <c r="H59" s="338"/>
      <c r="I59" s="338"/>
      <c r="J59" s="338"/>
      <c r="K59" s="338"/>
      <c r="L59" s="338"/>
    </row>
    <row r="60" spans="1:12" ht="15.75" customHeight="1" x14ac:dyDescent="0.25">
      <c r="A60" t="s">
        <v>343</v>
      </c>
    </row>
    <row r="61" spans="1:12" ht="15.75" customHeight="1" x14ac:dyDescent="0.25">
      <c r="A61">
        <v>1</v>
      </c>
      <c r="B61" t="s">
        <v>344</v>
      </c>
    </row>
    <row r="62" spans="1:12" ht="15.75" customHeight="1" x14ac:dyDescent="0.25">
      <c r="A62">
        <v>2</v>
      </c>
      <c r="B62" t="s">
        <v>345</v>
      </c>
    </row>
    <row r="63" spans="1:12" ht="15.75" customHeight="1" x14ac:dyDescent="0.25">
      <c r="A63">
        <v>3</v>
      </c>
      <c r="B63" t="s">
        <v>346</v>
      </c>
    </row>
    <row r="64" spans="1:1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13">
    <mergeCell ref="A59:L59"/>
    <mergeCell ref="B44:C44"/>
    <mergeCell ref="N6:R6"/>
    <mergeCell ref="U5:V5"/>
    <mergeCell ref="U6:V6"/>
    <mergeCell ref="C2:K2"/>
    <mergeCell ref="A23:K23"/>
    <mergeCell ref="N5:R5"/>
    <mergeCell ref="B28:K28"/>
    <mergeCell ref="B30:B31"/>
    <mergeCell ref="C30:C31"/>
    <mergeCell ref="D30:D31"/>
    <mergeCell ref="E30:K30"/>
  </mergeCells>
  <printOptions horizontalCentered="1"/>
  <pageMargins left="0.23622047244094491" right="0.23622047244094491" top="0.74803149606299213" bottom="0.74803149606299213" header="0.31496062992125984" footer="0.31496062992125984"/>
  <pageSetup paperSize="9" scale="74" fitToHeight="0" orientation="landscape" r:id="rId1"/>
  <rowBreaks count="1" manualBreakCount="1">
    <brk id="2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00"/>
  <sheetViews>
    <sheetView view="pageBreakPreview" topLeftCell="A31" zoomScale="60" zoomScaleNormal="100" workbookViewId="0">
      <selection activeCell="B9" sqref="B9"/>
    </sheetView>
  </sheetViews>
  <sheetFormatPr defaultColWidth="14.42578125" defaultRowHeight="15" customHeight="1" x14ac:dyDescent="0.25"/>
  <cols>
    <col min="1" max="1" width="40.5703125" customWidth="1"/>
    <col min="2" max="2" width="17.7109375" bestFit="1" customWidth="1"/>
    <col min="3" max="5" width="18.7109375" bestFit="1" customWidth="1"/>
    <col min="6" max="7" width="19.140625" bestFit="1" customWidth="1"/>
    <col min="8" max="8" width="18.7109375" bestFit="1" customWidth="1"/>
    <col min="9" max="9" width="8.5703125" customWidth="1"/>
    <col min="10" max="10" width="10.140625" customWidth="1"/>
    <col min="11" max="11" width="8.7109375" customWidth="1"/>
  </cols>
  <sheetData>
    <row r="2" spans="1:8" ht="18.75" x14ac:dyDescent="0.3">
      <c r="A2" s="354" t="s">
        <v>347</v>
      </c>
      <c r="B2" s="338"/>
      <c r="C2" s="338"/>
      <c r="D2" s="338"/>
      <c r="E2" s="338"/>
      <c r="F2" s="338"/>
      <c r="G2" s="338"/>
      <c r="H2" s="338"/>
    </row>
    <row r="4" spans="1:8" x14ac:dyDescent="0.25">
      <c r="B4" s="153"/>
      <c r="C4" s="153"/>
      <c r="D4" s="153"/>
      <c r="E4" s="153"/>
      <c r="F4" s="153"/>
    </row>
    <row r="5" spans="1:8" x14ac:dyDescent="0.25">
      <c r="A5" s="72" t="s">
        <v>148</v>
      </c>
      <c r="B5" s="73" t="s">
        <v>151</v>
      </c>
      <c r="C5" s="73" t="s">
        <v>152</v>
      </c>
      <c r="D5" s="73" t="s">
        <v>153</v>
      </c>
      <c r="E5" s="73" t="s">
        <v>154</v>
      </c>
      <c r="F5" s="73" t="s">
        <v>155</v>
      </c>
      <c r="G5" s="73" t="s">
        <v>156</v>
      </c>
      <c r="H5" s="73" t="s">
        <v>157</v>
      </c>
    </row>
    <row r="6" spans="1:8" x14ac:dyDescent="0.25">
      <c r="A6" s="77" t="s">
        <v>348</v>
      </c>
      <c r="B6" s="74"/>
      <c r="C6" s="74"/>
      <c r="D6" s="74"/>
      <c r="E6" s="74"/>
      <c r="F6" s="74"/>
      <c r="G6" s="74"/>
      <c r="H6" s="74"/>
    </row>
    <row r="7" spans="1:8" x14ac:dyDescent="0.25">
      <c r="A7" s="74"/>
      <c r="B7" s="74"/>
      <c r="C7" s="74"/>
      <c r="D7" s="74"/>
      <c r="E7" s="74"/>
      <c r="F7" s="74"/>
      <c r="G7" s="74"/>
      <c r="H7" s="74"/>
    </row>
    <row r="8" spans="1:8" x14ac:dyDescent="0.25">
      <c r="A8" s="74" t="s">
        <v>349</v>
      </c>
      <c r="B8" s="76">
        <f>'12.Facility 1 - Trading'!D229</f>
        <v>4088314.9999999995</v>
      </c>
      <c r="C8" s="76">
        <f>'12.Facility 1 - Trading'!E229</f>
        <v>5590492.6874999991</v>
      </c>
      <c r="D8" s="76">
        <f>'12.Facility 1 - Trading'!F229</f>
        <v>7055811.1968750004</v>
      </c>
      <c r="E8" s="76">
        <f>'12.Facility 1 - Trading'!G229</f>
        <v>8653685.3254687507</v>
      </c>
      <c r="F8" s="76">
        <f>'12.Facility 1 - Trading'!H229</f>
        <v>10393707.338929687</v>
      </c>
      <c r="G8" s="76">
        <f>'12.Facility 1 - Trading'!I229</f>
        <v>12286097.340423048</v>
      </c>
      <c r="H8" s="76">
        <f>'12.Facility 1 - Trading'!J229</f>
        <v>14341742.073718423</v>
      </c>
    </row>
    <row r="9" spans="1:8" x14ac:dyDescent="0.25">
      <c r="A9" s="305" t="s">
        <v>725</v>
      </c>
      <c r="B9" s="76">
        <f>'13.Facility 2 Grain Processing'!D148</f>
        <v>27564337.5</v>
      </c>
      <c r="C9" s="76">
        <f>'13.Facility 2 Grain Processing'!E148</f>
        <v>31836809.8125</v>
      </c>
      <c r="D9" s="76">
        <f>'13.Facility 2 Grain Processing'!F148</f>
        <v>36467618.51250001</v>
      </c>
      <c r="E9" s="76">
        <f>'13.Facility 2 Grain Processing'!G148</f>
        <v>41481916.057968765</v>
      </c>
      <c r="F9" s="76">
        <f>'13.Facility 2 Grain Processing'!H148</f>
        <v>46906474.311703146</v>
      </c>
      <c r="G9" s="76">
        <f>'13.Facility 2 Grain Processing'!I148</f>
        <v>52769783.600666039</v>
      </c>
      <c r="H9" s="76">
        <f>'13.Facility 2 Grain Processing'!J148</f>
        <v>59102157.632745989</v>
      </c>
    </row>
    <row r="10" spans="1:8" x14ac:dyDescent="0.25">
      <c r="A10" s="74" t="s">
        <v>350</v>
      </c>
      <c r="B10" s="76">
        <f>'14. Facility 3 Warehouse'!D23</f>
        <v>0</v>
      </c>
      <c r="C10" s="76">
        <f>'14. Facility 3 Warehouse'!E23</f>
        <v>0</v>
      </c>
      <c r="D10" s="76">
        <f>'14. Facility 3 Warehouse'!F23</f>
        <v>0</v>
      </c>
      <c r="E10" s="76">
        <f>'14. Facility 3 Warehouse'!G23</f>
        <v>0</v>
      </c>
      <c r="F10" s="76">
        <f>'14. Facility 3 Warehouse'!H23</f>
        <v>0</v>
      </c>
      <c r="G10" s="76">
        <f>'14. Facility 3 Warehouse'!I23</f>
        <v>0</v>
      </c>
      <c r="H10" s="76">
        <f>'14. Facility 3 Warehouse'!J23</f>
        <v>0</v>
      </c>
    </row>
    <row r="11" spans="1:8" x14ac:dyDescent="0.25">
      <c r="A11" s="74" t="s">
        <v>351</v>
      </c>
      <c r="B11" s="76">
        <f>'15. Facility 4 Custom Hiring'!E39</f>
        <v>0</v>
      </c>
      <c r="C11" s="76">
        <f>'15. Facility 4 Custom Hiring'!F39</f>
        <v>0</v>
      </c>
      <c r="D11" s="76">
        <f>'15. Facility 4 Custom Hiring'!G39</f>
        <v>0</v>
      </c>
      <c r="E11" s="76">
        <f>'15. Facility 4 Custom Hiring'!H39</f>
        <v>0</v>
      </c>
      <c r="F11" s="76">
        <f>'15. Facility 4 Custom Hiring'!I39</f>
        <v>0</v>
      </c>
      <c r="G11" s="76">
        <f>'15. Facility 4 Custom Hiring'!J39</f>
        <v>0</v>
      </c>
      <c r="H11" s="76">
        <f>'15. Facility 4 Custom Hiring'!K39</f>
        <v>0</v>
      </c>
    </row>
    <row r="12" spans="1:8" x14ac:dyDescent="0.25">
      <c r="A12" s="74" t="s">
        <v>352</v>
      </c>
      <c r="B12" s="76">
        <f>'16.Facility 5 Agri Input'!D191</f>
        <v>4189500</v>
      </c>
      <c r="C12" s="76">
        <f>'16.Facility 5 Agri Input'!E191</f>
        <v>5730243.75</v>
      </c>
      <c r="D12" s="76">
        <f>'16.Facility 5 Agri Input'!F191</f>
        <v>7232262.1875</v>
      </c>
      <c r="E12" s="76">
        <f>'16.Facility 5 Agri Input'!G191</f>
        <v>8870156.8593750019</v>
      </c>
      <c r="F12" s="76">
        <f>'16.Facility 5 Agri Input'!H191</f>
        <v>10653760.342968753</v>
      </c>
      <c r="G12" s="76">
        <f>'16.Facility 5 Agri Input'!I191</f>
        <v>12593548.782773441</v>
      </c>
      <c r="H12" s="76">
        <f>'16.Facility 5 Agri Input'!J191</f>
        <v>14700681.665701177</v>
      </c>
    </row>
    <row r="13" spans="1:8" x14ac:dyDescent="0.25">
      <c r="A13" s="74" t="s">
        <v>353</v>
      </c>
      <c r="B13" s="76">
        <f>'17.Facility 6 Horti Processing '!D159</f>
        <v>0</v>
      </c>
      <c r="C13" s="76">
        <f>'17.Facility 6 Horti Processing '!E159</f>
        <v>0</v>
      </c>
      <c r="D13" s="76">
        <f>'17.Facility 6 Horti Processing '!F159</f>
        <v>0</v>
      </c>
      <c r="E13" s="76">
        <f>'17.Facility 6 Horti Processing '!G159</f>
        <v>0</v>
      </c>
      <c r="F13" s="76">
        <f>'17.Facility 6 Horti Processing '!H159</f>
        <v>0</v>
      </c>
      <c r="G13" s="76">
        <f>'17.Facility 6 Horti Processing '!I159</f>
        <v>0</v>
      </c>
      <c r="H13" s="76">
        <f>'17.Facility 6 Horti Processing '!J159</f>
        <v>0</v>
      </c>
    </row>
    <row r="14" spans="1:8" x14ac:dyDescent="0.25">
      <c r="A14" s="74"/>
      <c r="B14" s="76"/>
      <c r="C14" s="76"/>
      <c r="D14" s="76"/>
      <c r="E14" s="76"/>
      <c r="F14" s="76"/>
      <c r="G14" s="76"/>
      <c r="H14" s="76"/>
    </row>
    <row r="15" spans="1:8" x14ac:dyDescent="0.25">
      <c r="A15" s="77" t="s">
        <v>354</v>
      </c>
      <c r="B15" s="78">
        <f t="shared" ref="B15:H15" si="0">SUM(B8:B14)</f>
        <v>35842152.5</v>
      </c>
      <c r="C15" s="78">
        <f t="shared" si="0"/>
        <v>43157546.25</v>
      </c>
      <c r="D15" s="78">
        <f t="shared" si="0"/>
        <v>50755691.896875009</v>
      </c>
      <c r="E15" s="78">
        <f t="shared" si="0"/>
        <v>59005758.242812514</v>
      </c>
      <c r="F15" s="78">
        <f t="shared" si="0"/>
        <v>67953941.993601575</v>
      </c>
      <c r="G15" s="78">
        <f t="shared" si="0"/>
        <v>77649429.723862529</v>
      </c>
      <c r="H15" s="78">
        <f t="shared" si="0"/>
        <v>88144581.372165591</v>
      </c>
    </row>
    <row r="16" spans="1:8" x14ac:dyDescent="0.25">
      <c r="A16" s="74"/>
      <c r="B16" s="76"/>
      <c r="C16" s="76"/>
      <c r="D16" s="76"/>
      <c r="E16" s="76"/>
      <c r="F16" s="76"/>
      <c r="G16" s="76"/>
      <c r="H16" s="76"/>
    </row>
    <row r="17" spans="1:11" x14ac:dyDescent="0.25">
      <c r="A17" s="77" t="s">
        <v>355</v>
      </c>
      <c r="B17" s="76"/>
      <c r="C17" s="76"/>
      <c r="D17" s="76"/>
      <c r="E17" s="76"/>
      <c r="F17" s="76"/>
      <c r="G17" s="76"/>
      <c r="H17" s="76"/>
    </row>
    <row r="18" spans="1:11" x14ac:dyDescent="0.25">
      <c r="A18" s="74" t="str">
        <f t="shared" ref="A18:A23" si="1">A8</f>
        <v>Faclitiy 1 - Cleaning &amp; Grading</v>
      </c>
      <c r="B18" s="76">
        <f>'12.Facility 1 - Trading'!D292</f>
        <v>3993283.1749999998</v>
      </c>
      <c r="C18" s="76">
        <f>'12.Facility 1 - Trading'!E292</f>
        <v>5450606.4921875</v>
      </c>
      <c r="D18" s="76">
        <f>'12.Facility 1 - Trading'!F292</f>
        <v>6878758.8522187499</v>
      </c>
      <c r="E18" s="76">
        <f>'12.Facility 1 - Trading'!G292</f>
        <v>8436099.9320226572</v>
      </c>
      <c r="F18" s="76">
        <f>'12.Facility 1 - Trading'!H292</f>
        <v>10131978.222676408</v>
      </c>
      <c r="G18" s="76">
        <f>'12.Facility 1 - Trading'!I292</f>
        <v>11976354.092565477</v>
      </c>
      <c r="H18" s="76">
        <f>'12.Facility 1 - Trading'!J292</f>
        <v>13979837.603886763</v>
      </c>
    </row>
    <row r="19" spans="1:11" x14ac:dyDescent="0.25">
      <c r="A19" s="74" t="str">
        <f t="shared" si="1"/>
        <v>Faclitiy 2 - Processing Unit- TURMERIC PLANT</v>
      </c>
      <c r="B19" s="76">
        <f>'13.Facility 2 Grain Processing'!D169</f>
        <v>20851031.25</v>
      </c>
      <c r="C19" s="76">
        <f>'13.Facility 2 Grain Processing'!E169</f>
        <v>24756691.09375</v>
      </c>
      <c r="D19" s="76">
        <f>'13.Facility 2 Grain Processing'!F169</f>
        <v>28364095.593750004</v>
      </c>
      <c r="E19" s="76">
        <f>'13.Facility 2 Grain Processing'!G169</f>
        <v>32270348.816015631</v>
      </c>
      <c r="F19" s="76">
        <f>'13.Facility 2 Grain Processing'!H169</f>
        <v>36496317.121523447</v>
      </c>
      <c r="G19" s="76">
        <f>'13.Facility 2 Grain Processing'!I169</f>
        <v>41064206.385542005</v>
      </c>
      <c r="H19" s="76">
        <f>'13.Facility 2 Grain Processing'!J169</f>
        <v>45997643.783158623</v>
      </c>
    </row>
    <row r="20" spans="1:11" x14ac:dyDescent="0.25">
      <c r="A20" s="74" t="str">
        <f t="shared" si="1"/>
        <v>Faclitiy 3 - Warehouse</v>
      </c>
      <c r="B20" s="76">
        <f>'14. Facility 3 Warehouse'!D34</f>
        <v>0</v>
      </c>
      <c r="C20" s="76">
        <f>'14. Facility 3 Warehouse'!E34</f>
        <v>0</v>
      </c>
      <c r="D20" s="76">
        <f>'14. Facility 3 Warehouse'!F34</f>
        <v>0</v>
      </c>
      <c r="E20" s="76">
        <f>'14. Facility 3 Warehouse'!G34</f>
        <v>0</v>
      </c>
      <c r="F20" s="76">
        <f>'14. Facility 3 Warehouse'!H34</f>
        <v>0</v>
      </c>
      <c r="G20" s="76">
        <f>'14. Facility 3 Warehouse'!I34</f>
        <v>0</v>
      </c>
      <c r="H20" s="76">
        <f>'14. Facility 3 Warehouse'!J34</f>
        <v>0</v>
      </c>
    </row>
    <row r="21" spans="1:11" ht="15.75" customHeight="1" x14ac:dyDescent="0.25">
      <c r="A21" s="74" t="str">
        <f t="shared" si="1"/>
        <v xml:space="preserve">Faclitiy 4 - Custom Hiring </v>
      </c>
      <c r="B21" s="76">
        <f>'15. Facility 4 Custom Hiring'!E49</f>
        <v>0</v>
      </c>
      <c r="C21" s="76">
        <f>'15. Facility 4 Custom Hiring'!F49</f>
        <v>0</v>
      </c>
      <c r="D21" s="76">
        <f>'15. Facility 4 Custom Hiring'!G49</f>
        <v>0</v>
      </c>
      <c r="E21" s="76">
        <f>'15. Facility 4 Custom Hiring'!H49</f>
        <v>0</v>
      </c>
      <c r="F21" s="76">
        <f>'15. Facility 4 Custom Hiring'!I49</f>
        <v>0</v>
      </c>
      <c r="G21" s="76">
        <f>'15. Facility 4 Custom Hiring'!J49</f>
        <v>0</v>
      </c>
      <c r="H21" s="76">
        <f>'15. Facility 4 Custom Hiring'!K49</f>
        <v>0</v>
      </c>
    </row>
    <row r="22" spans="1:11" ht="15.75" customHeight="1" x14ac:dyDescent="0.25">
      <c r="A22" s="74" t="str">
        <f t="shared" si="1"/>
        <v>Faclitiy 5 - Agri Input Centre</v>
      </c>
      <c r="B22" s="76">
        <f>'16.Facility 5 Agri Input'!D262</f>
        <v>4013492</v>
      </c>
      <c r="C22" s="76">
        <f>'16.Facility 5 Agri Input'!E262</f>
        <v>5456358.25</v>
      </c>
      <c r="D22" s="76">
        <f>'16.Facility 5 Agri Input'!F262</f>
        <v>6884915.5199999996</v>
      </c>
      <c r="E22" s="76">
        <f>'16.Facility 5 Agri Input'!G262</f>
        <v>8442687.6213750001</v>
      </c>
      <c r="F22" s="76">
        <f>'16.Facility 5 Agri Input'!H262</f>
        <v>10139024.644087503</v>
      </c>
      <c r="G22" s="76">
        <f>'16.Facility 5 Agri Input'!I262</f>
        <v>11983888.650017815</v>
      </c>
      <c r="H22" s="76">
        <f>'16.Facility 5 Agri Input'!J262</f>
        <v>13987891.494930943</v>
      </c>
    </row>
    <row r="23" spans="1:11" ht="15.75" customHeight="1" x14ac:dyDescent="0.25">
      <c r="A23" s="74" t="str">
        <f t="shared" si="1"/>
        <v>Facility 6 - Processing Unit - Horti Commodity</v>
      </c>
      <c r="B23" s="76">
        <f>'17.Facility 6 Horti Processing '!D177</f>
        <v>0</v>
      </c>
      <c r="C23" s="76">
        <f>'17.Facility 6 Horti Processing '!E177</f>
        <v>0</v>
      </c>
      <c r="D23" s="76">
        <f>'17.Facility 6 Horti Processing '!F177</f>
        <v>0</v>
      </c>
      <c r="E23" s="76">
        <f>'17.Facility 6 Horti Processing '!G177</f>
        <v>0</v>
      </c>
      <c r="F23" s="76">
        <f>'17.Facility 6 Horti Processing '!H177</f>
        <v>0</v>
      </c>
      <c r="G23" s="76">
        <f>'17.Facility 6 Horti Processing '!I177</f>
        <v>0</v>
      </c>
      <c r="H23" s="76">
        <f>'17.Facility 6 Horti Processing '!J177</f>
        <v>0</v>
      </c>
    </row>
    <row r="24" spans="1:11" ht="15.75" customHeight="1" x14ac:dyDescent="0.25">
      <c r="A24" s="74"/>
      <c r="B24" s="76"/>
      <c r="C24" s="76"/>
      <c r="D24" s="76"/>
      <c r="E24" s="76"/>
      <c r="F24" s="76"/>
      <c r="G24" s="76"/>
      <c r="H24" s="76"/>
    </row>
    <row r="25" spans="1:11" ht="15.75" customHeight="1" x14ac:dyDescent="0.25">
      <c r="A25" s="77" t="s">
        <v>356</v>
      </c>
      <c r="B25" s="78">
        <f t="shared" ref="B25:H25" si="2">SUM(B18:B24)</f>
        <v>28857806.425000001</v>
      </c>
      <c r="C25" s="78">
        <f t="shared" si="2"/>
        <v>35663655.8359375</v>
      </c>
      <c r="D25" s="78">
        <f t="shared" si="2"/>
        <v>42127769.965968758</v>
      </c>
      <c r="E25" s="78">
        <f t="shared" si="2"/>
        <v>49149136.369413294</v>
      </c>
      <c r="F25" s="78">
        <f t="shared" si="2"/>
        <v>56767319.988287352</v>
      </c>
      <c r="G25" s="78">
        <f t="shared" si="2"/>
        <v>65024449.128125295</v>
      </c>
      <c r="H25" s="78">
        <f t="shared" si="2"/>
        <v>73965372.881976321</v>
      </c>
      <c r="K25">
        <f>1600*200</f>
        <v>320000</v>
      </c>
    </row>
    <row r="26" spans="1:11" ht="15.75" customHeight="1" x14ac:dyDescent="0.25">
      <c r="A26" s="74"/>
      <c r="B26" s="76"/>
      <c r="C26" s="76"/>
      <c r="D26" s="76"/>
      <c r="E26" s="76"/>
      <c r="F26" s="76"/>
      <c r="G26" s="76"/>
      <c r="H26" s="76"/>
    </row>
    <row r="27" spans="1:11" ht="15.75" customHeight="1" x14ac:dyDescent="0.25">
      <c r="A27" s="77" t="s">
        <v>357</v>
      </c>
      <c r="B27" s="76"/>
      <c r="C27" s="76"/>
      <c r="D27" s="76"/>
      <c r="E27" s="76"/>
      <c r="F27" s="76"/>
      <c r="G27" s="76"/>
      <c r="H27" s="76"/>
    </row>
    <row r="28" spans="1:11" ht="15.75" customHeight="1" x14ac:dyDescent="0.25">
      <c r="A28" s="74" t="str">
        <f t="shared" ref="A28:A33" si="3">A18</f>
        <v>Faclitiy 1 - Cleaning &amp; Grading</v>
      </c>
      <c r="B28" s="76">
        <f>'12.Facility 1 - Trading'!D301</f>
        <v>0</v>
      </c>
      <c r="C28" s="76">
        <f>'12.Facility 1 - Trading'!E301</f>
        <v>0</v>
      </c>
      <c r="D28" s="76">
        <f>'12.Facility 1 - Trading'!F301</f>
        <v>0</v>
      </c>
      <c r="E28" s="76">
        <f>'12.Facility 1 - Trading'!G301</f>
        <v>0</v>
      </c>
      <c r="F28" s="76">
        <f>'12.Facility 1 - Trading'!H301</f>
        <v>0</v>
      </c>
      <c r="G28" s="76">
        <f>'12.Facility 1 - Trading'!I301</f>
        <v>0</v>
      </c>
      <c r="H28" s="76">
        <f>'12.Facility 1 - Trading'!J301</f>
        <v>0</v>
      </c>
    </row>
    <row r="29" spans="1:11" ht="15.75" customHeight="1" x14ac:dyDescent="0.25">
      <c r="A29" s="74" t="str">
        <f t="shared" si="3"/>
        <v>Faclitiy 2 - Processing Unit- TURMERIC PLANT</v>
      </c>
      <c r="B29" s="76">
        <f>'13.Facility 2 Grain Processing'!D177</f>
        <v>720000</v>
      </c>
      <c r="C29" s="76">
        <f>'13.Facility 2 Grain Processing'!E177</f>
        <v>756000</v>
      </c>
      <c r="D29" s="76">
        <f>'13.Facility 2 Grain Processing'!F177</f>
        <v>793800</v>
      </c>
      <c r="E29" s="76">
        <f>'13.Facility 2 Grain Processing'!G177</f>
        <v>833490.00000000012</v>
      </c>
      <c r="F29" s="76">
        <f>'13.Facility 2 Grain Processing'!H177</f>
        <v>875164.50000000012</v>
      </c>
      <c r="G29" s="76">
        <f>'13.Facility 2 Grain Processing'!I177</f>
        <v>918922.72500000021</v>
      </c>
      <c r="H29" s="76">
        <f>'13.Facility 2 Grain Processing'!J177</f>
        <v>964868.86125000031</v>
      </c>
    </row>
    <row r="30" spans="1:11" ht="15.75" customHeight="1" x14ac:dyDescent="0.25">
      <c r="A30" s="74" t="str">
        <f t="shared" si="3"/>
        <v>Faclitiy 3 - Warehouse</v>
      </c>
      <c r="B30" s="76">
        <f>'14. Facility 3 Warehouse'!D43</f>
        <v>0</v>
      </c>
      <c r="C30" s="76">
        <f>'14. Facility 3 Warehouse'!E43</f>
        <v>0</v>
      </c>
      <c r="D30" s="76">
        <f>'14. Facility 3 Warehouse'!F43</f>
        <v>0</v>
      </c>
      <c r="E30" s="76">
        <f>'14. Facility 3 Warehouse'!G43</f>
        <v>0</v>
      </c>
      <c r="F30" s="76">
        <f>'14. Facility 3 Warehouse'!H43</f>
        <v>0</v>
      </c>
      <c r="G30" s="76">
        <f>'14. Facility 3 Warehouse'!I43</f>
        <v>0</v>
      </c>
      <c r="H30" s="76">
        <f>'14. Facility 3 Warehouse'!J43</f>
        <v>0</v>
      </c>
    </row>
    <row r="31" spans="1:11" ht="15.75" customHeight="1" x14ac:dyDescent="0.25">
      <c r="A31" s="74" t="str">
        <f t="shared" si="3"/>
        <v xml:space="preserve">Faclitiy 4 - Custom Hiring </v>
      </c>
      <c r="B31" s="76">
        <f>'15. Facility 4 Custom Hiring'!E56</f>
        <v>0</v>
      </c>
      <c r="C31" s="76">
        <f>'15. Facility 4 Custom Hiring'!F56</f>
        <v>0</v>
      </c>
      <c r="D31" s="76">
        <f>'15. Facility 4 Custom Hiring'!G56</f>
        <v>0</v>
      </c>
      <c r="E31" s="76">
        <f>'15. Facility 4 Custom Hiring'!H56</f>
        <v>0</v>
      </c>
      <c r="F31" s="76">
        <f>'15. Facility 4 Custom Hiring'!I56</f>
        <v>0</v>
      </c>
      <c r="G31" s="76">
        <f>'15. Facility 4 Custom Hiring'!J56</f>
        <v>0</v>
      </c>
      <c r="H31" s="76">
        <f>'15. Facility 4 Custom Hiring'!K56</f>
        <v>0</v>
      </c>
    </row>
    <row r="32" spans="1:11" ht="15.75" customHeight="1" x14ac:dyDescent="0.25">
      <c r="A32" s="74" t="str">
        <f t="shared" si="3"/>
        <v>Faclitiy 5 - Agri Input Centre</v>
      </c>
      <c r="B32" s="76">
        <f>'16.Facility 5 Agri Input'!D273</f>
        <v>0</v>
      </c>
      <c r="C32" s="76">
        <f>'16.Facility 5 Agri Input'!E273</f>
        <v>0</v>
      </c>
      <c r="D32" s="76">
        <f>'16.Facility 5 Agri Input'!F273</f>
        <v>0</v>
      </c>
      <c r="E32" s="76">
        <f>'16.Facility 5 Agri Input'!G273</f>
        <v>0</v>
      </c>
      <c r="F32" s="76">
        <f>'16.Facility 5 Agri Input'!H273</f>
        <v>0</v>
      </c>
      <c r="G32" s="76">
        <f>'16.Facility 5 Agri Input'!I273</f>
        <v>0</v>
      </c>
      <c r="H32" s="76">
        <f>'16.Facility 5 Agri Input'!J273</f>
        <v>0</v>
      </c>
    </row>
    <row r="33" spans="1:10" ht="15.75" customHeight="1" x14ac:dyDescent="0.25">
      <c r="A33" s="74" t="str">
        <f t="shared" si="3"/>
        <v>Facility 6 - Processing Unit - Horti Commodity</v>
      </c>
      <c r="B33" s="76">
        <f>'17.Facility 6 Horti Processing '!D185</f>
        <v>0</v>
      </c>
      <c r="C33" s="76">
        <f>'17.Facility 6 Horti Processing '!E185</f>
        <v>0</v>
      </c>
      <c r="D33" s="76">
        <f>'17.Facility 6 Horti Processing '!F185</f>
        <v>0</v>
      </c>
      <c r="E33" s="76">
        <f>'17.Facility 6 Horti Processing '!G185</f>
        <v>0</v>
      </c>
      <c r="F33" s="76">
        <f>'17.Facility 6 Horti Processing '!H185</f>
        <v>0</v>
      </c>
      <c r="G33" s="76">
        <f>'17.Facility 6 Horti Processing '!I185</f>
        <v>0</v>
      </c>
      <c r="H33" s="76">
        <f>'17.Facility 6 Horti Processing '!J185</f>
        <v>0</v>
      </c>
    </row>
    <row r="34" spans="1:10" ht="15.75" customHeight="1" x14ac:dyDescent="0.25">
      <c r="A34" s="74"/>
      <c r="B34" s="76"/>
      <c r="C34" s="76"/>
      <c r="D34" s="76"/>
      <c r="E34" s="76"/>
      <c r="F34" s="76"/>
      <c r="G34" s="76"/>
      <c r="H34" s="76"/>
    </row>
    <row r="35" spans="1:10" ht="15.75" customHeight="1" x14ac:dyDescent="0.25">
      <c r="A35" s="74" t="s">
        <v>358</v>
      </c>
      <c r="B35" s="76">
        <f>'3.Other Exp &amp; Taxes'!E23</f>
        <v>1671000</v>
      </c>
      <c r="C35" s="76">
        <f>'3.Other Exp &amp; Taxes'!F23</f>
        <v>1754550</v>
      </c>
      <c r="D35" s="76">
        <f>'3.Other Exp &amp; Taxes'!G23</f>
        <v>1842277.5</v>
      </c>
      <c r="E35" s="76">
        <f>'3.Other Exp &amp; Taxes'!H23</f>
        <v>1934391.3750000002</v>
      </c>
      <c r="F35" s="76">
        <f>'3.Other Exp &amp; Taxes'!I23</f>
        <v>2031110.9437500003</v>
      </c>
      <c r="G35" s="76">
        <f>'3.Other Exp &amp; Taxes'!J23</f>
        <v>2132666.4909375007</v>
      </c>
      <c r="H35" s="76">
        <f>'3.Other Exp &amp; Taxes'!K23</f>
        <v>2239299.8154843757</v>
      </c>
    </row>
    <row r="36" spans="1:10" ht="15.75" customHeight="1" x14ac:dyDescent="0.25">
      <c r="A36" s="77" t="s">
        <v>359</v>
      </c>
      <c r="B36" s="78">
        <f t="shared" ref="B36:H36" si="4">SUM(B28:B35)</f>
        <v>2391000</v>
      </c>
      <c r="C36" s="78">
        <f t="shared" si="4"/>
        <v>2510550</v>
      </c>
      <c r="D36" s="78">
        <f t="shared" si="4"/>
        <v>2636077.5</v>
      </c>
      <c r="E36" s="78">
        <f t="shared" si="4"/>
        <v>2767881.3750000005</v>
      </c>
      <c r="F36" s="78">
        <f t="shared" si="4"/>
        <v>2906275.4437500006</v>
      </c>
      <c r="G36" s="78">
        <f t="shared" si="4"/>
        <v>3051589.2159375008</v>
      </c>
      <c r="H36" s="78">
        <f t="shared" si="4"/>
        <v>3204168.6767343758</v>
      </c>
    </row>
    <row r="37" spans="1:10" ht="15.75" customHeight="1" x14ac:dyDescent="0.25">
      <c r="A37" s="74"/>
      <c r="B37" s="76"/>
      <c r="C37" s="76"/>
      <c r="D37" s="76"/>
      <c r="E37" s="76"/>
      <c r="F37" s="76"/>
      <c r="G37" s="76"/>
      <c r="H37" s="76"/>
    </row>
    <row r="38" spans="1:10" ht="15.75" customHeight="1" x14ac:dyDescent="0.25">
      <c r="A38" s="77" t="s">
        <v>360</v>
      </c>
      <c r="B38" s="78">
        <f t="shared" ref="B38:H38" si="5">B25+B36</f>
        <v>31248806.425000001</v>
      </c>
      <c r="C38" s="78">
        <f t="shared" si="5"/>
        <v>38174205.8359375</v>
      </c>
      <c r="D38" s="78">
        <f t="shared" si="5"/>
        <v>44763847.465968758</v>
      </c>
      <c r="E38" s="78">
        <f t="shared" si="5"/>
        <v>51917017.744413294</v>
      </c>
      <c r="F38" s="78">
        <f t="shared" si="5"/>
        <v>59673595.432037354</v>
      </c>
      <c r="G38" s="78">
        <f t="shared" si="5"/>
        <v>68076038.34406279</v>
      </c>
      <c r="H38" s="78">
        <f t="shared" si="5"/>
        <v>77169541.558710694</v>
      </c>
    </row>
    <row r="39" spans="1:10" ht="15.75" customHeight="1" x14ac:dyDescent="0.25">
      <c r="A39" s="74"/>
      <c r="B39" s="76"/>
      <c r="C39" s="76"/>
      <c r="D39" s="76"/>
      <c r="E39" s="76"/>
      <c r="F39" s="76"/>
      <c r="G39" s="76"/>
      <c r="H39" s="76"/>
    </row>
    <row r="40" spans="1:10" ht="15.75" customHeight="1" x14ac:dyDescent="0.25">
      <c r="A40" s="77" t="s">
        <v>361</v>
      </c>
      <c r="B40" s="78">
        <f t="shared" ref="B40:H40" si="6">B15-B38</f>
        <v>4593346.0749999993</v>
      </c>
      <c r="C40" s="78">
        <f t="shared" si="6"/>
        <v>4983340.4140625</v>
      </c>
      <c r="D40" s="78">
        <f t="shared" si="6"/>
        <v>5991844.4309062511</v>
      </c>
      <c r="E40" s="78">
        <f t="shared" si="6"/>
        <v>7088740.4983992204</v>
      </c>
      <c r="F40" s="78">
        <f t="shared" si="6"/>
        <v>8280346.561564222</v>
      </c>
      <c r="G40" s="78">
        <f t="shared" si="6"/>
        <v>9573391.3797997385</v>
      </c>
      <c r="H40" s="78">
        <f t="shared" si="6"/>
        <v>10975039.813454896</v>
      </c>
      <c r="J40" s="154">
        <f>B49+B42+B43</f>
        <v>3550620.9434999758</v>
      </c>
    </row>
    <row r="41" spans="1:10" ht="15.75" customHeight="1" x14ac:dyDescent="0.25">
      <c r="A41" s="74"/>
      <c r="B41" s="76"/>
      <c r="C41" s="76"/>
      <c r="D41" s="76"/>
      <c r="E41" s="76"/>
      <c r="F41" s="76"/>
      <c r="G41" s="76"/>
      <c r="H41" s="76"/>
      <c r="J41" s="155">
        <f>'5.Closing Stock &amp; W Capital'!E56</f>
        <v>473288.10866438365</v>
      </c>
    </row>
    <row r="42" spans="1:10" ht="15.75" customHeight="1" x14ac:dyDescent="0.25">
      <c r="A42" s="74" t="s">
        <v>177</v>
      </c>
      <c r="B42" s="76">
        <f>'3.Other Exp &amp; Taxes'!C66</f>
        <v>1186617.0737640001</v>
      </c>
      <c r="C42" s="76">
        <f>'3.Other Exp &amp; Taxes'!D66</f>
        <v>1186617.0737640001</v>
      </c>
      <c r="D42" s="76">
        <f>'3.Other Exp &amp; Taxes'!E66</f>
        <v>1186617.0737640001</v>
      </c>
      <c r="E42" s="76">
        <f>'3.Other Exp &amp; Taxes'!F66</f>
        <v>1186617.0737640001</v>
      </c>
      <c r="F42" s="76">
        <f>'3.Other Exp &amp; Taxes'!G66</f>
        <v>1186617.0737640001</v>
      </c>
      <c r="G42" s="76">
        <f>'3.Other Exp &amp; Taxes'!H66</f>
        <v>1186617.0737640001</v>
      </c>
      <c r="H42" s="76">
        <f>'3.Other Exp &amp; Taxes'!I66</f>
        <v>1186617.0737640001</v>
      </c>
      <c r="J42" s="154">
        <f>J40+J41</f>
        <v>4023909.0521643595</v>
      </c>
    </row>
    <row r="43" spans="1:10" ht="15.75" customHeight="1" x14ac:dyDescent="0.25">
      <c r="A43" s="74" t="s">
        <v>362</v>
      </c>
      <c r="B43" s="76">
        <f>'3.Other Exp &amp; Taxes'!C86</f>
        <v>90000</v>
      </c>
      <c r="C43" s="76">
        <f>'3.Other Exp &amp; Taxes'!D86</f>
        <v>90000</v>
      </c>
      <c r="D43" s="76">
        <f>'3.Other Exp &amp; Taxes'!E86</f>
        <v>90000</v>
      </c>
      <c r="E43" s="76">
        <f>'3.Other Exp &amp; Taxes'!F86</f>
        <v>90000</v>
      </c>
      <c r="F43" s="76">
        <f>'3.Other Exp &amp; Taxes'!G86</f>
        <v>90000</v>
      </c>
      <c r="G43" s="76">
        <f>'3.Other Exp &amp; Taxes'!H86</f>
        <v>0</v>
      </c>
      <c r="H43" s="76">
        <f>'3.Other Exp &amp; Taxes'!I86</f>
        <v>0</v>
      </c>
    </row>
    <row r="44" spans="1:10" ht="15.75" customHeight="1" x14ac:dyDescent="0.25">
      <c r="A44" s="74"/>
      <c r="B44" s="76"/>
      <c r="C44" s="76"/>
      <c r="D44" s="76"/>
      <c r="E44" s="76"/>
      <c r="F44" s="76"/>
      <c r="G44" s="76"/>
      <c r="H44" s="76"/>
    </row>
    <row r="45" spans="1:10" ht="15.75" customHeight="1" x14ac:dyDescent="0.25">
      <c r="A45" s="77" t="s">
        <v>363</v>
      </c>
      <c r="B45" s="78">
        <f t="shared" ref="B45:H45" si="7">B40-B42-B43</f>
        <v>3316729.0012359992</v>
      </c>
      <c r="C45" s="78">
        <f t="shared" si="7"/>
        <v>3706723.3402984999</v>
      </c>
      <c r="D45" s="78">
        <f t="shared" si="7"/>
        <v>4715227.357142251</v>
      </c>
      <c r="E45" s="78">
        <f t="shared" si="7"/>
        <v>5812123.4246352203</v>
      </c>
      <c r="F45" s="78">
        <f t="shared" si="7"/>
        <v>7003729.4878002219</v>
      </c>
      <c r="G45" s="78">
        <f t="shared" si="7"/>
        <v>8386774.3060357384</v>
      </c>
      <c r="H45" s="78">
        <f t="shared" si="7"/>
        <v>9788422.7396908961</v>
      </c>
    </row>
    <row r="46" spans="1:10" ht="15.75" customHeight="1" x14ac:dyDescent="0.25">
      <c r="A46" s="74"/>
      <c r="B46" s="76"/>
      <c r="C46" s="76"/>
      <c r="D46" s="76"/>
      <c r="E46" s="76"/>
      <c r="F46" s="76"/>
      <c r="G46" s="76"/>
      <c r="H46" s="76"/>
    </row>
    <row r="47" spans="1:10" ht="15.75" customHeight="1" x14ac:dyDescent="0.25">
      <c r="A47" s="74" t="s">
        <v>364</v>
      </c>
      <c r="B47" s="76">
        <f>'8.Cash Flow '!C26+'8.Cash Flow '!C28</f>
        <v>1042725.1315000233</v>
      </c>
      <c r="C47" s="76">
        <f>'8.Cash Flow '!D26+'8.Cash Flow '!D28</f>
        <v>934440.86781883705</v>
      </c>
      <c r="D47" s="76">
        <f>'8.Cash Flow '!E26+'8.Cash Flow '!E28</f>
        <v>747171.77285366179</v>
      </c>
      <c r="E47" s="76">
        <f>'8.Cash Flow '!F26+'8.Cash Flow '!F28</f>
        <v>534129.94422463805</v>
      </c>
      <c r="F47" s="76">
        <f>'8.Cash Flow '!G26+'8.Cash Flow '!G28</f>
        <v>435841.1171239994</v>
      </c>
      <c r="G47" s="76">
        <f>'8.Cash Flow '!H26+'8.Cash Flow '!H28</f>
        <v>499709.99341657921</v>
      </c>
      <c r="H47" s="76">
        <f>'8.Cash Flow '!I26+'8.Cash Flow '!I28</f>
        <v>568876.15454560751</v>
      </c>
    </row>
    <row r="48" spans="1:10" ht="15.75" customHeight="1" x14ac:dyDescent="0.25">
      <c r="A48" s="74"/>
      <c r="B48" s="76"/>
      <c r="C48" s="76"/>
      <c r="D48" s="76"/>
      <c r="E48" s="76"/>
      <c r="F48" s="76"/>
      <c r="G48" s="76"/>
      <c r="H48" s="76"/>
    </row>
    <row r="49" spans="1:9" ht="15.75" customHeight="1" x14ac:dyDescent="0.25">
      <c r="A49" s="74" t="s">
        <v>365</v>
      </c>
      <c r="B49" s="76">
        <f t="shared" ref="B49:H49" si="8">B45-B47</f>
        <v>2274003.8697359757</v>
      </c>
      <c r="C49" s="76">
        <f t="shared" si="8"/>
        <v>2772282.4724796629</v>
      </c>
      <c r="D49" s="76">
        <f t="shared" si="8"/>
        <v>3968055.5842885892</v>
      </c>
      <c r="E49" s="76">
        <f t="shared" si="8"/>
        <v>5277993.4804105824</v>
      </c>
      <c r="F49" s="76">
        <f t="shared" si="8"/>
        <v>6567888.3706762223</v>
      </c>
      <c r="G49" s="76">
        <f t="shared" si="8"/>
        <v>7887064.312619159</v>
      </c>
      <c r="H49" s="76">
        <f t="shared" si="8"/>
        <v>9219546.5851452891</v>
      </c>
    </row>
    <row r="50" spans="1:9" ht="15.75" customHeight="1" x14ac:dyDescent="0.25">
      <c r="A50" s="74" t="s">
        <v>366</v>
      </c>
      <c r="B50" s="76">
        <f>'3.Other Exp &amp; Taxes'!B99</f>
        <v>114444.6111899938</v>
      </c>
      <c r="C50" s="76">
        <f>'3.Other Exp &amp; Taxes'!C99</f>
        <v>353391.51602135244</v>
      </c>
      <c r="D50" s="76">
        <f>'3.Other Exp &amp; Taxes'!D99</f>
        <v>757172.45669197326</v>
      </c>
      <c r="E50" s="76">
        <f>'3.Other Exp &amp; Taxes'!E99</f>
        <v>1176987.6906739464</v>
      </c>
      <c r="F50" s="76">
        <f>'3.Other Exp &amp; Taxes'!F99</f>
        <v>1580189.0924817296</v>
      </c>
      <c r="G50" s="76">
        <f>'3.Other Exp &amp; Taxes'!G99</f>
        <v>1981399.2857901023</v>
      </c>
      <c r="H50" s="76">
        <f>'3.Other Exp &amp; Taxes'!H99</f>
        <v>2377930.188704194</v>
      </c>
    </row>
    <row r="51" spans="1:9" ht="15.75" customHeight="1" x14ac:dyDescent="0.25">
      <c r="A51" s="77" t="s">
        <v>367</v>
      </c>
      <c r="B51" s="76">
        <f t="shared" ref="B51:H51" si="9">B49-B50</f>
        <v>2159559.2585459817</v>
      </c>
      <c r="C51" s="76">
        <f t="shared" si="9"/>
        <v>2418890.9564583106</v>
      </c>
      <c r="D51" s="76">
        <f t="shared" si="9"/>
        <v>3210883.1275966158</v>
      </c>
      <c r="E51" s="76">
        <f t="shared" si="9"/>
        <v>4101005.789736636</v>
      </c>
      <c r="F51" s="76">
        <f t="shared" si="9"/>
        <v>4987699.2781944927</v>
      </c>
      <c r="G51" s="76">
        <f t="shared" si="9"/>
        <v>5905665.0268290564</v>
      </c>
      <c r="H51" s="76">
        <f t="shared" si="9"/>
        <v>6841616.3964410946</v>
      </c>
    </row>
    <row r="52" spans="1:9" ht="15.75" customHeight="1" x14ac:dyDescent="0.25">
      <c r="A52" s="69"/>
      <c r="B52" s="115"/>
      <c r="C52" s="115"/>
      <c r="D52" s="115"/>
      <c r="E52" s="115"/>
      <c r="F52" s="115"/>
      <c r="G52" s="115"/>
      <c r="H52" s="115"/>
    </row>
    <row r="53" spans="1:9" ht="15.75" customHeight="1" x14ac:dyDescent="0.25">
      <c r="A53" s="69" t="s">
        <v>368</v>
      </c>
      <c r="B53" s="115">
        <f>B51</f>
        <v>2159559.2585459817</v>
      </c>
      <c r="C53" s="115">
        <f t="shared" ref="C53:H53" si="10">B53+C51</f>
        <v>4578450.2150042923</v>
      </c>
      <c r="D53" s="115">
        <f t="shared" si="10"/>
        <v>7789333.3426009081</v>
      </c>
      <c r="E53" s="115">
        <f t="shared" si="10"/>
        <v>11890339.132337544</v>
      </c>
      <c r="F53" s="115">
        <f t="shared" si="10"/>
        <v>16878038.410532035</v>
      </c>
      <c r="G53" s="115">
        <f t="shared" si="10"/>
        <v>22783703.437361091</v>
      </c>
      <c r="H53" s="115">
        <f t="shared" si="10"/>
        <v>29625319.833802186</v>
      </c>
    </row>
    <row r="54" spans="1:9" ht="15.75" customHeight="1" x14ac:dyDescent="0.25"/>
    <row r="55" spans="1:9" ht="15.75" customHeight="1" x14ac:dyDescent="0.25"/>
    <row r="56" spans="1:9" ht="32.25" customHeight="1" x14ac:dyDescent="0.25">
      <c r="A56" s="374" t="s">
        <v>369</v>
      </c>
      <c r="B56" s="338"/>
      <c r="C56" s="338"/>
      <c r="D56" s="338"/>
      <c r="E56" s="338"/>
      <c r="F56" s="338"/>
      <c r="G56" s="338"/>
      <c r="H56" s="338"/>
      <c r="I56" s="338"/>
    </row>
    <row r="57" spans="1:9" ht="15.75" customHeight="1" x14ac:dyDescent="0.25"/>
    <row r="58" spans="1:9" ht="15.75" customHeight="1" x14ac:dyDescent="0.25">
      <c r="A58" s="156"/>
    </row>
    <row r="59" spans="1:9" ht="15.75" customHeight="1" x14ac:dyDescent="0.25"/>
    <row r="60" spans="1:9" ht="15.75" customHeight="1" x14ac:dyDescent="0.25"/>
    <row r="61" spans="1:9" ht="15.75" customHeight="1" x14ac:dyDescent="0.25"/>
    <row r="62" spans="1:9" ht="15.75" customHeight="1" x14ac:dyDescent="0.25"/>
    <row r="63" spans="1:9" ht="15.75" customHeight="1" x14ac:dyDescent="0.25"/>
    <row r="64" spans="1:9"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2">
    <mergeCell ref="A2:H2"/>
    <mergeCell ref="A56:I56"/>
  </mergeCells>
  <printOptions horizontalCentered="1"/>
  <pageMargins left="0.23622047244094491" right="0.23622047244094491" top="0.74803149606299213" bottom="0.74803149606299213" header="0.31496062992125984" footer="0.31496062992125984"/>
  <pageSetup paperSize="9"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view="pageBreakPreview" topLeftCell="A37" zoomScale="60" zoomScaleNormal="100" workbookViewId="0">
      <selection activeCell="A2" sqref="A2:XFD4"/>
    </sheetView>
  </sheetViews>
  <sheetFormatPr defaultColWidth="14.42578125" defaultRowHeight="15" customHeight="1" x14ac:dyDescent="0.25"/>
  <cols>
    <col min="1" max="1" width="37.28515625" customWidth="1"/>
    <col min="2" max="2" width="18.42578125" customWidth="1"/>
    <col min="3" max="3" width="12.42578125" customWidth="1"/>
    <col min="4" max="6" width="13.5703125" customWidth="1"/>
    <col min="7" max="7" width="12.42578125" customWidth="1"/>
    <col min="8" max="8" width="13.85546875" bestFit="1" customWidth="1"/>
    <col min="9" max="9" width="9.140625" customWidth="1"/>
    <col min="10" max="10" width="32.85546875" customWidth="1"/>
    <col min="11" max="16" width="8.7109375" customWidth="1"/>
    <col min="17" max="17" width="10.140625" customWidth="1"/>
    <col min="18" max="18" width="9.140625" customWidth="1"/>
  </cols>
  <sheetData>
    <row r="1" spans="1:18" x14ac:dyDescent="0.25">
      <c r="A1" s="375"/>
      <c r="B1" s="338"/>
      <c r="C1" s="338"/>
      <c r="D1" s="338"/>
      <c r="E1" s="338"/>
      <c r="F1" s="338"/>
      <c r="G1" s="157"/>
      <c r="H1" s="157"/>
      <c r="I1" s="157"/>
      <c r="J1" s="157"/>
      <c r="K1" s="157"/>
      <c r="L1" s="157"/>
      <c r="M1" s="157"/>
      <c r="N1" s="157"/>
      <c r="O1" s="157"/>
      <c r="P1" s="157"/>
      <c r="Q1" s="157"/>
      <c r="R1" s="157"/>
    </row>
    <row r="2" spans="1:18" ht="18.75" x14ac:dyDescent="0.3">
      <c r="A2" s="376" t="s">
        <v>370</v>
      </c>
      <c r="B2" s="338"/>
      <c r="C2" s="338"/>
      <c r="D2" s="338"/>
      <c r="E2" s="338"/>
      <c r="F2" s="338"/>
      <c r="G2" s="338"/>
      <c r="H2" s="338"/>
      <c r="I2" s="158"/>
      <c r="J2" s="157"/>
      <c r="K2" s="157"/>
      <c r="L2" s="157"/>
      <c r="M2" s="157"/>
      <c r="N2" s="157"/>
      <c r="O2" s="157"/>
      <c r="P2" s="157"/>
      <c r="Q2" s="157"/>
      <c r="R2" s="157"/>
    </row>
    <row r="3" spans="1:18" x14ac:dyDescent="0.25">
      <c r="A3" s="159"/>
      <c r="B3" s="160"/>
      <c r="C3" s="160"/>
      <c r="D3" s="160"/>
      <c r="E3" s="160"/>
      <c r="F3" s="160"/>
      <c r="G3" s="157"/>
      <c r="H3" s="157"/>
      <c r="I3" s="157"/>
      <c r="J3" s="157"/>
      <c r="K3" s="157"/>
      <c r="L3" s="157"/>
      <c r="M3" s="157"/>
      <c r="N3" s="157"/>
      <c r="O3" s="157"/>
      <c r="P3" s="157"/>
      <c r="Q3" s="157"/>
      <c r="R3" s="157"/>
    </row>
    <row r="4" spans="1:18" x14ac:dyDescent="0.25">
      <c r="A4" s="161" t="s">
        <v>148</v>
      </c>
      <c r="B4" s="162" t="s">
        <v>151</v>
      </c>
      <c r="C4" s="162" t="s">
        <v>152</v>
      </c>
      <c r="D4" s="162" t="s">
        <v>153</v>
      </c>
      <c r="E4" s="162" t="s">
        <v>154</v>
      </c>
      <c r="F4" s="162" t="s">
        <v>155</v>
      </c>
      <c r="G4" s="73" t="s">
        <v>156</v>
      </c>
      <c r="H4" s="73" t="s">
        <v>157</v>
      </c>
      <c r="I4" s="157"/>
      <c r="J4" s="157"/>
      <c r="K4" s="157"/>
      <c r="L4" s="157"/>
      <c r="M4" s="157"/>
      <c r="N4" s="157"/>
      <c r="O4" s="157"/>
      <c r="P4" s="157"/>
      <c r="Q4" s="157"/>
      <c r="R4" s="157"/>
    </row>
    <row r="5" spans="1:18" x14ac:dyDescent="0.25">
      <c r="A5" s="163"/>
      <c r="B5" s="164"/>
      <c r="C5" s="165"/>
      <c r="D5" s="165"/>
      <c r="E5" s="165"/>
      <c r="F5" s="165"/>
      <c r="G5" s="165"/>
      <c r="H5" s="165"/>
      <c r="I5" s="157"/>
      <c r="J5" s="157"/>
      <c r="K5" s="157"/>
      <c r="L5" s="157"/>
      <c r="M5" s="157"/>
      <c r="N5" s="157"/>
      <c r="O5" s="157"/>
      <c r="P5" s="157"/>
      <c r="Q5" s="157"/>
      <c r="R5" s="157"/>
    </row>
    <row r="6" spans="1:18" x14ac:dyDescent="0.25">
      <c r="A6" s="166" t="s">
        <v>371</v>
      </c>
      <c r="B6" s="167"/>
      <c r="C6" s="167"/>
      <c r="D6" s="167"/>
      <c r="E6" s="167"/>
      <c r="F6" s="167"/>
      <c r="G6" s="167"/>
      <c r="H6" s="167"/>
      <c r="I6" s="157"/>
      <c r="J6" s="157"/>
      <c r="K6" s="157"/>
      <c r="L6" s="157"/>
      <c r="M6" s="157"/>
      <c r="N6" s="157"/>
      <c r="O6" s="157"/>
      <c r="P6" s="157"/>
      <c r="Q6" s="157"/>
      <c r="R6" s="157"/>
    </row>
    <row r="7" spans="1:18" x14ac:dyDescent="0.25">
      <c r="A7" s="168" t="s">
        <v>372</v>
      </c>
      <c r="B7" s="169"/>
      <c r="C7" s="169"/>
      <c r="D7" s="169"/>
      <c r="E7" s="169"/>
      <c r="F7" s="169"/>
      <c r="G7" s="169"/>
      <c r="H7" s="169"/>
      <c r="I7" s="157"/>
      <c r="J7" s="157"/>
      <c r="K7" s="157"/>
      <c r="L7" s="157"/>
      <c r="M7" s="157"/>
      <c r="N7" s="157"/>
      <c r="O7" s="157"/>
      <c r="P7" s="157"/>
      <c r="Q7" s="157"/>
      <c r="R7" s="157"/>
    </row>
    <row r="8" spans="1:18" x14ac:dyDescent="0.25">
      <c r="A8" s="168" t="s">
        <v>373</v>
      </c>
      <c r="B8" s="170">
        <f>'8.Cash Flow '!C33</f>
        <v>2249331.773255378</v>
      </c>
      <c r="C8" s="170">
        <f>'8.Cash Flow '!D33</f>
        <v>4074160.7601521686</v>
      </c>
      <c r="D8" s="170">
        <f>'8.Cash Flow '!E33</f>
        <v>6453732.992150262</v>
      </c>
      <c r="E8" s="170">
        <f>'8.Cash Flow '!F33</f>
        <v>9456089.858057946</v>
      </c>
      <c r="F8" s="170">
        <f>'8.Cash Flow '!G33</f>
        <v>15720406.210016437</v>
      </c>
      <c r="G8" s="170">
        <f>'8.Cash Flow '!H33</f>
        <v>22812688.310609497</v>
      </c>
      <c r="H8" s="170">
        <f>'8.Cash Flow '!I33</f>
        <v>30840921.780814596</v>
      </c>
      <c r="I8" s="157"/>
      <c r="J8" s="157"/>
      <c r="K8" s="171"/>
      <c r="L8" s="171"/>
      <c r="M8" s="171"/>
      <c r="N8" s="171"/>
      <c r="O8" s="171"/>
      <c r="P8" s="171"/>
      <c r="Q8" s="171"/>
      <c r="R8" s="171"/>
    </row>
    <row r="9" spans="1:18" x14ac:dyDescent="0.25">
      <c r="A9" s="172" t="s">
        <v>374</v>
      </c>
      <c r="B9" s="173"/>
      <c r="C9" s="173"/>
      <c r="D9" s="173"/>
      <c r="E9" s="173"/>
      <c r="F9" s="173"/>
      <c r="G9" s="173"/>
      <c r="H9" s="173"/>
      <c r="I9" s="157"/>
      <c r="J9" s="157"/>
      <c r="K9" s="171"/>
      <c r="L9" s="171"/>
      <c r="M9" s="171"/>
      <c r="N9" s="171"/>
      <c r="O9" s="171"/>
      <c r="P9" s="171"/>
      <c r="Q9" s="171"/>
      <c r="R9" s="171"/>
    </row>
    <row r="10" spans="1:18" x14ac:dyDescent="0.25">
      <c r="A10" s="172" t="s">
        <v>375</v>
      </c>
      <c r="B10" s="173"/>
      <c r="C10" s="173"/>
      <c r="D10" s="173"/>
      <c r="E10" s="173"/>
      <c r="F10" s="173"/>
      <c r="G10" s="173"/>
      <c r="H10" s="173"/>
      <c r="I10" s="157"/>
      <c r="J10" s="157"/>
      <c r="K10" s="171"/>
      <c r="L10" s="171"/>
      <c r="M10" s="171"/>
      <c r="N10" s="171"/>
      <c r="O10" s="171"/>
      <c r="P10" s="171"/>
      <c r="Q10" s="171"/>
      <c r="R10" s="171"/>
    </row>
    <row r="11" spans="1:18" x14ac:dyDescent="0.25">
      <c r="A11" s="168" t="s">
        <v>376</v>
      </c>
      <c r="B11" s="170">
        <f t="shared" ref="B11:H11" si="0">SUM(B8:B10)</f>
        <v>2249331.773255378</v>
      </c>
      <c r="C11" s="170">
        <f t="shared" si="0"/>
        <v>4074160.7601521686</v>
      </c>
      <c r="D11" s="170">
        <f t="shared" si="0"/>
        <v>6453732.992150262</v>
      </c>
      <c r="E11" s="170">
        <f t="shared" si="0"/>
        <v>9456089.858057946</v>
      </c>
      <c r="F11" s="170">
        <f t="shared" si="0"/>
        <v>15720406.210016437</v>
      </c>
      <c r="G11" s="170">
        <f t="shared" si="0"/>
        <v>22812688.310609497</v>
      </c>
      <c r="H11" s="170">
        <f t="shared" si="0"/>
        <v>30840921.780814596</v>
      </c>
      <c r="I11" s="157"/>
      <c r="J11" s="157"/>
      <c r="K11" s="157"/>
      <c r="L11" s="157"/>
      <c r="M11" s="157"/>
      <c r="N11" s="157"/>
      <c r="O11" s="157"/>
      <c r="P11" s="157"/>
      <c r="Q11" s="157"/>
      <c r="R11" s="157"/>
    </row>
    <row r="12" spans="1:18" x14ac:dyDescent="0.25">
      <c r="A12" s="168"/>
      <c r="B12" s="173"/>
      <c r="C12" s="173"/>
      <c r="D12" s="173"/>
      <c r="E12" s="173"/>
      <c r="F12" s="173"/>
      <c r="G12" s="173"/>
      <c r="H12" s="173"/>
      <c r="I12" s="157"/>
      <c r="J12" s="171"/>
      <c r="K12" s="171"/>
      <c r="L12" s="171"/>
      <c r="M12" s="171"/>
      <c r="N12" s="171"/>
      <c r="O12" s="171"/>
      <c r="P12" s="171"/>
      <c r="Q12" s="171"/>
      <c r="R12" s="157"/>
    </row>
    <row r="13" spans="1:18" x14ac:dyDescent="0.25">
      <c r="A13" s="172" t="s">
        <v>377</v>
      </c>
      <c r="B13" s="173">
        <f>'3.Other Exp &amp; Taxes'!C65</f>
        <v>22897159.079999998</v>
      </c>
      <c r="C13" s="173">
        <f>'3.Other Exp &amp; Taxes'!D65</f>
        <v>21710542.006236002</v>
      </c>
      <c r="D13" s="173">
        <f>'3.Other Exp &amp; Taxes'!E65</f>
        <v>20523924.932471998</v>
      </c>
      <c r="E13" s="173">
        <f>'3.Other Exp &amp; Taxes'!F65</f>
        <v>19337307.858707998</v>
      </c>
      <c r="F13" s="173">
        <f>'3.Other Exp &amp; Taxes'!G65</f>
        <v>18150690.784943998</v>
      </c>
      <c r="G13" s="173">
        <f>'3.Other Exp &amp; Taxes'!H65</f>
        <v>16964073.711179994</v>
      </c>
      <c r="H13" s="173">
        <f>'3.Other Exp &amp; Taxes'!I65</f>
        <v>15777456.637415994</v>
      </c>
      <c r="I13" s="157"/>
      <c r="J13" s="157"/>
      <c r="K13" s="157"/>
      <c r="L13" s="157"/>
      <c r="M13" s="157"/>
      <c r="N13" s="157"/>
      <c r="O13" s="157"/>
      <c r="P13" s="157"/>
      <c r="Q13" s="157"/>
      <c r="R13" s="157"/>
    </row>
    <row r="14" spans="1:18" x14ac:dyDescent="0.25">
      <c r="A14" s="172" t="s">
        <v>378</v>
      </c>
      <c r="B14" s="173">
        <f>'3.Other Exp &amp; Taxes'!C66</f>
        <v>1186617.0737640001</v>
      </c>
      <c r="C14" s="173">
        <f>'3.Other Exp &amp; Taxes'!D66</f>
        <v>1186617.0737640001</v>
      </c>
      <c r="D14" s="173">
        <f>'3.Other Exp &amp; Taxes'!E66</f>
        <v>1186617.0737640001</v>
      </c>
      <c r="E14" s="173">
        <f>'3.Other Exp &amp; Taxes'!F66</f>
        <v>1186617.0737640001</v>
      </c>
      <c r="F14" s="173">
        <f>'3.Other Exp &amp; Taxes'!G66</f>
        <v>1186617.0737640001</v>
      </c>
      <c r="G14" s="173">
        <f>'3.Other Exp &amp; Taxes'!H66</f>
        <v>1186617.0737640001</v>
      </c>
      <c r="H14" s="173">
        <f>'3.Other Exp &amp; Taxes'!I66</f>
        <v>1186617.0737640001</v>
      </c>
      <c r="I14" s="157"/>
      <c r="J14" s="157"/>
      <c r="K14" s="171"/>
      <c r="L14" s="171"/>
      <c r="M14" s="171"/>
      <c r="N14" s="171"/>
      <c r="O14" s="171"/>
      <c r="P14" s="171"/>
      <c r="Q14" s="171"/>
      <c r="R14" s="157"/>
    </row>
    <row r="15" spans="1:18" x14ac:dyDescent="0.25">
      <c r="A15" s="168" t="s">
        <v>179</v>
      </c>
      <c r="B15" s="170">
        <f t="shared" ref="B15:H15" si="1">B13-B14</f>
        <v>21710542.006235998</v>
      </c>
      <c r="C15" s="170">
        <f t="shared" si="1"/>
        <v>20523924.932472002</v>
      </c>
      <c r="D15" s="170">
        <f t="shared" si="1"/>
        <v>19337307.858707998</v>
      </c>
      <c r="E15" s="170">
        <f t="shared" si="1"/>
        <v>18150690.784943998</v>
      </c>
      <c r="F15" s="170">
        <f t="shared" si="1"/>
        <v>16964073.711179998</v>
      </c>
      <c r="G15" s="170">
        <f t="shared" si="1"/>
        <v>15777456.637415994</v>
      </c>
      <c r="H15" s="170">
        <f t="shared" si="1"/>
        <v>14590839.563651994</v>
      </c>
      <c r="I15" s="160"/>
      <c r="J15" s="160"/>
      <c r="K15" s="160"/>
      <c r="L15" s="160"/>
      <c r="M15" s="160"/>
      <c r="N15" s="160"/>
      <c r="O15" s="160"/>
      <c r="P15" s="160"/>
      <c r="Q15" s="160"/>
      <c r="R15" s="160"/>
    </row>
    <row r="16" spans="1:18" x14ac:dyDescent="0.25">
      <c r="A16" s="168"/>
      <c r="B16" s="170"/>
      <c r="C16" s="170"/>
      <c r="D16" s="170"/>
      <c r="E16" s="170"/>
      <c r="F16" s="170"/>
      <c r="G16" s="170"/>
      <c r="H16" s="170"/>
      <c r="I16" s="160"/>
      <c r="J16" s="160"/>
      <c r="K16" s="160"/>
      <c r="L16" s="160"/>
      <c r="M16" s="160"/>
      <c r="N16" s="160"/>
      <c r="O16" s="160"/>
      <c r="P16" s="160"/>
      <c r="Q16" s="160"/>
      <c r="R16" s="160"/>
    </row>
    <row r="17" spans="1:18" x14ac:dyDescent="0.25">
      <c r="A17" s="174"/>
      <c r="B17" s="170"/>
      <c r="C17" s="170"/>
      <c r="D17" s="170"/>
      <c r="E17" s="170"/>
      <c r="F17" s="170"/>
      <c r="G17" s="170"/>
      <c r="H17" s="170"/>
      <c r="I17" s="160"/>
      <c r="J17" s="160"/>
      <c r="K17" s="160"/>
      <c r="L17" s="160"/>
      <c r="M17" s="160"/>
      <c r="N17" s="160"/>
      <c r="O17" s="160"/>
      <c r="P17" s="160"/>
      <c r="Q17" s="160"/>
      <c r="R17" s="160"/>
    </row>
    <row r="18" spans="1:18" x14ac:dyDescent="0.25">
      <c r="A18" s="168" t="s">
        <v>379</v>
      </c>
      <c r="B18" s="170">
        <f>'8.Cash Flow '!C20-'6.Cons Profit &amp; Loss'!B43</f>
        <v>360000</v>
      </c>
      <c r="C18" s="170">
        <f>B18-'6.Cons Profit &amp; Loss'!C43</f>
        <v>270000</v>
      </c>
      <c r="D18" s="170">
        <f>C18-'6.Cons Profit &amp; Loss'!D43</f>
        <v>180000</v>
      </c>
      <c r="E18" s="170">
        <f>D18-'6.Cons Profit &amp; Loss'!E43</f>
        <v>90000</v>
      </c>
      <c r="F18" s="170">
        <f>E18-'6.Cons Profit &amp; Loss'!F43</f>
        <v>0</v>
      </c>
      <c r="G18" s="170">
        <f>F18-'6.Cons Profit &amp; Loss'!G43</f>
        <v>0</v>
      </c>
      <c r="H18" s="170">
        <f>G18-'6.Cons Profit &amp; Loss'!H43</f>
        <v>0</v>
      </c>
      <c r="I18" s="160"/>
      <c r="J18" s="160"/>
      <c r="K18" s="160"/>
      <c r="L18" s="160"/>
      <c r="M18" s="160"/>
      <c r="N18" s="160"/>
      <c r="O18" s="160"/>
      <c r="P18" s="160"/>
      <c r="Q18" s="160"/>
      <c r="R18" s="160"/>
    </row>
    <row r="19" spans="1:18" x14ac:dyDescent="0.25">
      <c r="A19" s="172"/>
      <c r="B19" s="173"/>
      <c r="C19" s="173"/>
      <c r="D19" s="173"/>
      <c r="E19" s="173"/>
      <c r="F19" s="173"/>
      <c r="G19" s="173"/>
      <c r="H19" s="173"/>
      <c r="I19" s="157"/>
      <c r="J19" s="157"/>
      <c r="K19" s="157"/>
      <c r="L19" s="157"/>
      <c r="M19" s="157"/>
      <c r="N19" s="157"/>
      <c r="O19" s="157"/>
      <c r="P19" s="157"/>
      <c r="Q19" s="157"/>
      <c r="R19" s="157"/>
    </row>
    <row r="20" spans="1:18" x14ac:dyDescent="0.25">
      <c r="A20" s="174" t="s">
        <v>380</v>
      </c>
      <c r="B20" s="170">
        <f t="shared" ref="B20:H20" si="2">B11+B15+B17+B18</f>
        <v>24319873.779491376</v>
      </c>
      <c r="C20" s="170">
        <f t="shared" si="2"/>
        <v>24868085.69262417</v>
      </c>
      <c r="D20" s="170">
        <f t="shared" si="2"/>
        <v>25971040.85085826</v>
      </c>
      <c r="E20" s="170">
        <f t="shared" si="2"/>
        <v>27696780.643001944</v>
      </c>
      <c r="F20" s="170">
        <f t="shared" si="2"/>
        <v>32684479.921196435</v>
      </c>
      <c r="G20" s="170">
        <f t="shared" si="2"/>
        <v>38590144.948025495</v>
      </c>
      <c r="H20" s="170">
        <f t="shared" si="2"/>
        <v>45431761.344466589</v>
      </c>
      <c r="I20" s="157"/>
      <c r="J20" s="157"/>
      <c r="K20" s="157"/>
      <c r="L20" s="157"/>
      <c r="M20" s="157"/>
      <c r="N20" s="157"/>
      <c r="O20" s="157"/>
      <c r="P20" s="157"/>
      <c r="Q20" s="157"/>
      <c r="R20" s="157"/>
    </row>
    <row r="21" spans="1:18" ht="15.75" customHeight="1" x14ac:dyDescent="0.25">
      <c r="A21" s="163"/>
      <c r="B21" s="173"/>
      <c r="C21" s="173"/>
      <c r="D21" s="173"/>
      <c r="E21" s="173"/>
      <c r="F21" s="173"/>
      <c r="G21" s="173"/>
      <c r="H21" s="173"/>
      <c r="I21" s="157"/>
      <c r="J21" s="157"/>
      <c r="K21" s="157"/>
      <c r="L21" s="157"/>
      <c r="M21" s="157"/>
      <c r="N21" s="157"/>
      <c r="O21" s="157"/>
      <c r="P21" s="157"/>
      <c r="Q21" s="157"/>
      <c r="R21" s="157"/>
    </row>
    <row r="22" spans="1:18" ht="15.75" customHeight="1" x14ac:dyDescent="0.25">
      <c r="A22" s="166" t="s">
        <v>381</v>
      </c>
      <c r="B22" s="175"/>
      <c r="C22" s="175"/>
      <c r="D22" s="175"/>
      <c r="E22" s="175"/>
      <c r="F22" s="175"/>
      <c r="G22" s="175"/>
      <c r="H22" s="175"/>
      <c r="I22" s="157"/>
      <c r="J22" s="157"/>
      <c r="K22" s="157"/>
      <c r="L22" s="157"/>
      <c r="M22" s="157"/>
      <c r="N22" s="157"/>
      <c r="O22" s="157"/>
      <c r="P22" s="157"/>
      <c r="Q22" s="157"/>
      <c r="R22" s="157"/>
    </row>
    <row r="23" spans="1:18" ht="15.75" customHeight="1" x14ac:dyDescent="0.25">
      <c r="A23" s="168" t="s">
        <v>382</v>
      </c>
      <c r="B23" s="175"/>
      <c r="C23" s="175"/>
      <c r="D23" s="175"/>
      <c r="E23" s="175"/>
      <c r="F23" s="175"/>
      <c r="G23" s="175"/>
      <c r="H23" s="175"/>
      <c r="I23" s="157"/>
      <c r="J23" s="157"/>
      <c r="K23" s="157"/>
      <c r="L23" s="157"/>
      <c r="M23" s="157"/>
      <c r="N23" s="157"/>
      <c r="O23" s="157"/>
      <c r="P23" s="157"/>
      <c r="Q23" s="157"/>
      <c r="R23" s="157"/>
    </row>
    <row r="24" spans="1:18" ht="15.75" customHeight="1" x14ac:dyDescent="0.25">
      <c r="A24" s="172" t="s">
        <v>383</v>
      </c>
      <c r="B24" s="170"/>
      <c r="C24" s="170"/>
      <c r="D24" s="170"/>
      <c r="E24" s="170"/>
      <c r="F24" s="170"/>
      <c r="G24" s="170"/>
      <c r="H24" s="170"/>
      <c r="I24" s="157"/>
      <c r="J24" s="157"/>
      <c r="K24" s="157"/>
      <c r="L24" s="157"/>
      <c r="M24" s="157"/>
      <c r="N24" s="157"/>
      <c r="O24" s="157"/>
      <c r="P24" s="157"/>
      <c r="Q24" s="157"/>
      <c r="R24" s="157"/>
    </row>
    <row r="25" spans="1:18" ht="15.75" customHeight="1" x14ac:dyDescent="0.25">
      <c r="A25" s="172" t="s">
        <v>384</v>
      </c>
      <c r="B25" s="173"/>
      <c r="C25" s="173"/>
      <c r="D25" s="173"/>
      <c r="E25" s="173"/>
      <c r="F25" s="173"/>
      <c r="G25" s="173"/>
      <c r="H25" s="173"/>
      <c r="I25" s="157"/>
      <c r="J25" s="157"/>
      <c r="K25" s="157"/>
      <c r="L25" s="157"/>
      <c r="M25" s="157"/>
      <c r="N25" s="157"/>
      <c r="O25" s="157"/>
      <c r="P25" s="157"/>
      <c r="Q25" s="157"/>
      <c r="R25" s="157"/>
    </row>
    <row r="26" spans="1:18" ht="15.75" customHeight="1" x14ac:dyDescent="0.25">
      <c r="A26" s="172" t="s">
        <v>385</v>
      </c>
      <c r="B26" s="170"/>
      <c r="C26" s="170"/>
      <c r="D26" s="170"/>
      <c r="E26" s="170"/>
      <c r="F26" s="170"/>
      <c r="G26" s="170"/>
      <c r="H26" s="170"/>
      <c r="I26" s="157"/>
      <c r="J26" s="157"/>
      <c r="K26" s="157"/>
      <c r="L26" s="157"/>
      <c r="M26" s="157"/>
      <c r="N26" s="157"/>
      <c r="O26" s="157"/>
      <c r="P26" s="157"/>
      <c r="Q26" s="157"/>
      <c r="R26" s="157"/>
    </row>
    <row r="27" spans="1:18" ht="15.75" customHeight="1" x14ac:dyDescent="0.25">
      <c r="A27" s="168" t="s">
        <v>386</v>
      </c>
      <c r="B27" s="170">
        <f t="shared" ref="B27:H27" si="3">SUM(B24:B26)</f>
        <v>0</v>
      </c>
      <c r="C27" s="170">
        <f t="shared" si="3"/>
        <v>0</v>
      </c>
      <c r="D27" s="170">
        <f t="shared" si="3"/>
        <v>0</v>
      </c>
      <c r="E27" s="170">
        <f t="shared" si="3"/>
        <v>0</v>
      </c>
      <c r="F27" s="170">
        <f t="shared" si="3"/>
        <v>0</v>
      </c>
      <c r="G27" s="170">
        <f t="shared" si="3"/>
        <v>0</v>
      </c>
      <c r="H27" s="170">
        <f t="shared" si="3"/>
        <v>0</v>
      </c>
      <c r="I27" s="157"/>
      <c r="J27" s="157"/>
      <c r="K27" s="157"/>
      <c r="L27" s="157"/>
      <c r="M27" s="157"/>
      <c r="N27" s="157"/>
      <c r="O27" s="157"/>
      <c r="P27" s="157"/>
      <c r="Q27" s="157"/>
      <c r="R27" s="157"/>
    </row>
    <row r="28" spans="1:18" ht="15.75" customHeight="1" x14ac:dyDescent="0.25">
      <c r="A28" s="168" t="s">
        <v>387</v>
      </c>
      <c r="B28" s="170">
        <f>'4.TL repayment sch'!G21</f>
        <v>6353873.010281004</v>
      </c>
      <c r="C28" s="170">
        <f>'4.TL repayment sch'!G33</f>
        <v>4483193.9669554792</v>
      </c>
      <c r="D28" s="170">
        <f>'4.TL repayment sch'!G45</f>
        <v>2375265.9975929512</v>
      </c>
      <c r="E28" s="170">
        <f>'4.TL repayment sch'!G57</f>
        <v>-6.4028427004814148E-10</v>
      </c>
      <c r="F28" s="170">
        <f>'4.TL repayment sch'!G69</f>
        <v>-7.2148834189002323E-10</v>
      </c>
      <c r="G28" s="170">
        <f>'4.TL repayment sch'!G81</f>
        <v>-8.1299112259009009E-10</v>
      </c>
      <c r="H28" s="170">
        <f>+'4.TL repayment sch'!G93</f>
        <v>-9.160987462096021E-10</v>
      </c>
      <c r="I28" s="157"/>
      <c r="J28" s="157"/>
      <c r="K28" s="157"/>
      <c r="L28" s="157"/>
      <c r="M28" s="157"/>
      <c r="N28" s="157"/>
      <c r="O28" s="157"/>
      <c r="P28" s="157"/>
      <c r="Q28" s="157"/>
      <c r="R28" s="157"/>
    </row>
    <row r="29" spans="1:18" ht="15.75" customHeight="1" x14ac:dyDescent="0.25">
      <c r="A29" s="168" t="s">
        <v>388</v>
      </c>
      <c r="B29" s="170"/>
      <c r="C29" s="170"/>
      <c r="D29" s="170"/>
      <c r="E29" s="170"/>
      <c r="F29" s="170"/>
      <c r="G29" s="170"/>
      <c r="H29" s="170"/>
      <c r="I29" s="157"/>
      <c r="J29" s="157"/>
      <c r="K29" s="157"/>
      <c r="L29" s="157"/>
      <c r="M29" s="157"/>
      <c r="N29" s="157"/>
      <c r="O29" s="157"/>
      <c r="P29" s="157"/>
      <c r="Q29" s="157"/>
      <c r="R29" s="157"/>
    </row>
    <row r="30" spans="1:18" ht="15.75" customHeight="1" x14ac:dyDescent="0.25">
      <c r="A30" s="168"/>
      <c r="B30" s="176"/>
      <c r="C30" s="176"/>
      <c r="D30" s="176"/>
      <c r="E30" s="176"/>
      <c r="F30" s="176"/>
      <c r="G30" s="176"/>
      <c r="H30" s="176"/>
      <c r="I30" s="157"/>
      <c r="J30" s="157"/>
      <c r="K30" s="157"/>
      <c r="L30" s="157"/>
      <c r="M30" s="157"/>
      <c r="N30" s="157"/>
      <c r="O30" s="157"/>
      <c r="P30" s="157"/>
      <c r="Q30" s="157"/>
      <c r="R30" s="157"/>
    </row>
    <row r="31" spans="1:18" ht="15.75" customHeight="1" x14ac:dyDescent="0.25">
      <c r="A31" s="174" t="s">
        <v>389</v>
      </c>
      <c r="B31" s="170">
        <f t="shared" ref="B31:H31" si="4">SUM(B27:B29)</f>
        <v>6353873.010281004</v>
      </c>
      <c r="C31" s="170">
        <f t="shared" si="4"/>
        <v>4483193.9669554792</v>
      </c>
      <c r="D31" s="170">
        <f t="shared" si="4"/>
        <v>2375265.9975929512</v>
      </c>
      <c r="E31" s="170">
        <f t="shared" si="4"/>
        <v>-6.4028427004814148E-10</v>
      </c>
      <c r="F31" s="170">
        <f t="shared" si="4"/>
        <v>-7.2148834189002323E-10</v>
      </c>
      <c r="G31" s="170">
        <f t="shared" si="4"/>
        <v>-8.1299112259009009E-10</v>
      </c>
      <c r="H31" s="170">
        <f t="shared" si="4"/>
        <v>-9.160987462096021E-10</v>
      </c>
      <c r="I31" s="157"/>
      <c r="J31" s="157"/>
      <c r="K31" s="157"/>
      <c r="L31" s="157"/>
      <c r="M31" s="157"/>
      <c r="N31" s="157"/>
      <c r="O31" s="157"/>
      <c r="P31" s="157"/>
      <c r="Q31" s="157"/>
      <c r="R31" s="157"/>
    </row>
    <row r="32" spans="1:18" ht="15.75" customHeight="1" x14ac:dyDescent="0.25">
      <c r="A32" s="163"/>
      <c r="B32" s="173"/>
      <c r="C32" s="173"/>
      <c r="D32" s="173"/>
      <c r="E32" s="173"/>
      <c r="F32" s="173"/>
      <c r="G32" s="173"/>
      <c r="H32" s="173"/>
      <c r="I32" s="157"/>
      <c r="J32" s="157"/>
      <c r="K32" s="157"/>
      <c r="L32" s="157"/>
      <c r="M32" s="157"/>
      <c r="N32" s="157"/>
      <c r="O32" s="157"/>
      <c r="P32" s="157"/>
      <c r="Q32" s="157"/>
      <c r="R32" s="157"/>
    </row>
    <row r="33" spans="1:18" ht="15.75" customHeight="1" x14ac:dyDescent="0.25">
      <c r="A33" s="172" t="s">
        <v>390</v>
      </c>
      <c r="B33" s="173">
        <f>'1.Project Cost and MOF'!E21</f>
        <v>1798146.0626643831</v>
      </c>
      <c r="C33" s="173">
        <f t="shared" ref="C33:H33" si="5">B33</f>
        <v>1798146.0626643831</v>
      </c>
      <c r="D33" s="173">
        <f t="shared" si="5"/>
        <v>1798146.0626643831</v>
      </c>
      <c r="E33" s="173">
        <f t="shared" si="5"/>
        <v>1798146.0626643831</v>
      </c>
      <c r="F33" s="173">
        <f t="shared" si="5"/>
        <v>1798146.0626643831</v>
      </c>
      <c r="G33" s="173">
        <f t="shared" si="5"/>
        <v>1798146.0626643831</v>
      </c>
      <c r="H33" s="173">
        <f t="shared" si="5"/>
        <v>1798146.0626643831</v>
      </c>
      <c r="I33" s="157"/>
      <c r="J33" s="157"/>
      <c r="K33" s="157"/>
      <c r="L33" s="157"/>
      <c r="M33" s="157"/>
      <c r="N33" s="157"/>
      <c r="O33" s="157"/>
      <c r="P33" s="157"/>
      <c r="Q33" s="157"/>
      <c r="R33" s="157"/>
    </row>
    <row r="34" spans="1:18" ht="15.75" customHeight="1" x14ac:dyDescent="0.25">
      <c r="A34" s="172" t="s">
        <v>391</v>
      </c>
      <c r="B34" s="173">
        <f>'1.Project Cost and MOF'!E19</f>
        <v>14008295.447999999</v>
      </c>
      <c r="C34" s="173">
        <f t="shared" ref="C34:H34" si="6">B34</f>
        <v>14008295.447999999</v>
      </c>
      <c r="D34" s="173">
        <f t="shared" si="6"/>
        <v>14008295.447999999</v>
      </c>
      <c r="E34" s="173">
        <f t="shared" si="6"/>
        <v>14008295.447999999</v>
      </c>
      <c r="F34" s="173">
        <f t="shared" si="6"/>
        <v>14008295.447999999</v>
      </c>
      <c r="G34" s="173">
        <f t="shared" si="6"/>
        <v>14008295.447999999</v>
      </c>
      <c r="H34" s="173">
        <f t="shared" si="6"/>
        <v>14008295.447999999</v>
      </c>
      <c r="I34" s="157"/>
      <c r="J34" s="157"/>
      <c r="K34" s="157"/>
      <c r="L34" s="157"/>
      <c r="M34" s="157"/>
      <c r="N34" s="157"/>
      <c r="O34" s="157"/>
      <c r="P34" s="157"/>
      <c r="Q34" s="157"/>
      <c r="R34" s="157"/>
    </row>
    <row r="35" spans="1:18" ht="15.75" customHeight="1" x14ac:dyDescent="0.25">
      <c r="A35" s="168" t="s">
        <v>392</v>
      </c>
      <c r="B35" s="173"/>
      <c r="C35" s="173"/>
      <c r="D35" s="173"/>
      <c r="E35" s="173"/>
      <c r="F35" s="173"/>
      <c r="G35" s="173"/>
      <c r="H35" s="173"/>
      <c r="I35" s="157"/>
      <c r="J35" s="157"/>
      <c r="K35" s="157"/>
      <c r="L35" s="157"/>
      <c r="M35" s="157"/>
      <c r="N35" s="157"/>
      <c r="O35" s="157"/>
      <c r="P35" s="157"/>
      <c r="Q35" s="157"/>
      <c r="R35" s="157"/>
    </row>
    <row r="36" spans="1:18" ht="15.75" customHeight="1" x14ac:dyDescent="0.25">
      <c r="A36" s="172" t="s">
        <v>393</v>
      </c>
      <c r="B36" s="173">
        <v>0</v>
      </c>
      <c r="C36" s="173">
        <f t="shared" ref="C36:H36" si="7">B39</f>
        <v>2159559.2585459817</v>
      </c>
      <c r="D36" s="173">
        <f t="shared" si="7"/>
        <v>4578450.2150042923</v>
      </c>
      <c r="E36" s="173">
        <f t="shared" si="7"/>
        <v>7789333.3426009081</v>
      </c>
      <c r="F36" s="173">
        <f t="shared" si="7"/>
        <v>11890339.132337544</v>
      </c>
      <c r="G36" s="173">
        <f t="shared" si="7"/>
        <v>16878038.410532035</v>
      </c>
      <c r="H36" s="173">
        <f t="shared" si="7"/>
        <v>22783703.437361091</v>
      </c>
      <c r="I36" s="157"/>
      <c r="J36" s="157"/>
      <c r="K36" s="157"/>
      <c r="L36" s="157"/>
      <c r="M36" s="157"/>
      <c r="N36" s="157"/>
      <c r="O36" s="157"/>
      <c r="P36" s="157"/>
      <c r="Q36" s="157"/>
      <c r="R36" s="157"/>
    </row>
    <row r="37" spans="1:18" ht="15.75" customHeight="1" x14ac:dyDescent="0.25">
      <c r="A37" s="172" t="s">
        <v>394</v>
      </c>
      <c r="B37" s="173">
        <f>'6.Cons Profit &amp; Loss'!B53</f>
        <v>2159559.2585459817</v>
      </c>
      <c r="C37" s="173">
        <f>'6.Cons Profit &amp; Loss'!C51</f>
        <v>2418890.9564583106</v>
      </c>
      <c r="D37" s="173">
        <f>'6.Cons Profit &amp; Loss'!D51</f>
        <v>3210883.1275966158</v>
      </c>
      <c r="E37" s="173">
        <f>'6.Cons Profit &amp; Loss'!E51</f>
        <v>4101005.789736636</v>
      </c>
      <c r="F37" s="173">
        <f>'6.Cons Profit &amp; Loss'!F51</f>
        <v>4987699.2781944927</v>
      </c>
      <c r="G37" s="173">
        <f>'6.Cons Profit &amp; Loss'!G51</f>
        <v>5905665.0268290564</v>
      </c>
      <c r="H37" s="173">
        <f>'6.Cons Profit &amp; Loss'!H51</f>
        <v>6841616.3964410946</v>
      </c>
      <c r="I37" s="157"/>
      <c r="J37" s="157"/>
      <c r="K37" s="157"/>
      <c r="L37" s="157"/>
      <c r="M37" s="157"/>
      <c r="N37" s="157"/>
      <c r="O37" s="157"/>
      <c r="P37" s="157"/>
      <c r="Q37" s="157"/>
      <c r="R37" s="157"/>
    </row>
    <row r="38" spans="1:18" ht="15.75" customHeight="1" x14ac:dyDescent="0.25">
      <c r="A38" s="172" t="s">
        <v>395</v>
      </c>
      <c r="B38" s="173"/>
      <c r="C38" s="173"/>
      <c r="D38" s="173"/>
      <c r="E38" s="173"/>
      <c r="F38" s="173"/>
      <c r="G38" s="173"/>
      <c r="H38" s="173"/>
      <c r="I38" s="157"/>
      <c r="J38" s="157"/>
      <c r="K38" s="157"/>
      <c r="L38" s="157"/>
      <c r="M38" s="157"/>
      <c r="N38" s="157"/>
      <c r="O38" s="157"/>
      <c r="P38" s="157"/>
      <c r="Q38" s="157"/>
      <c r="R38" s="157"/>
    </row>
    <row r="39" spans="1:18" ht="15.75" customHeight="1" x14ac:dyDescent="0.25">
      <c r="A39" s="172" t="s">
        <v>396</v>
      </c>
      <c r="B39" s="173">
        <f t="shared" ref="B39:H39" si="8">B36+B37-B38</f>
        <v>2159559.2585459817</v>
      </c>
      <c r="C39" s="173">
        <f t="shared" si="8"/>
        <v>4578450.2150042923</v>
      </c>
      <c r="D39" s="173">
        <f t="shared" si="8"/>
        <v>7789333.3426009081</v>
      </c>
      <c r="E39" s="173">
        <f t="shared" si="8"/>
        <v>11890339.132337544</v>
      </c>
      <c r="F39" s="173">
        <f t="shared" si="8"/>
        <v>16878038.410532035</v>
      </c>
      <c r="G39" s="173">
        <f t="shared" si="8"/>
        <v>22783703.437361091</v>
      </c>
      <c r="H39" s="173">
        <f t="shared" si="8"/>
        <v>29625319.833802186</v>
      </c>
      <c r="I39" s="157"/>
      <c r="J39" s="157"/>
      <c r="K39" s="157"/>
      <c r="L39" s="157"/>
      <c r="M39" s="157"/>
      <c r="N39" s="157"/>
      <c r="O39" s="157"/>
      <c r="P39" s="157"/>
      <c r="Q39" s="157"/>
      <c r="R39" s="157"/>
    </row>
    <row r="40" spans="1:18" ht="15.75" customHeight="1" x14ac:dyDescent="0.25">
      <c r="A40" s="172"/>
      <c r="B40" s="175"/>
      <c r="C40" s="175"/>
      <c r="D40" s="175"/>
      <c r="E40" s="175"/>
      <c r="F40" s="175"/>
      <c r="G40" s="175"/>
      <c r="H40" s="175"/>
      <c r="I40" s="157"/>
      <c r="J40" s="157"/>
      <c r="K40" s="157"/>
      <c r="L40" s="157"/>
      <c r="M40" s="157"/>
      <c r="N40" s="157"/>
      <c r="O40" s="157"/>
      <c r="P40" s="157"/>
      <c r="Q40" s="157"/>
      <c r="R40" s="157"/>
    </row>
    <row r="41" spans="1:18" ht="15.75" customHeight="1" x14ac:dyDescent="0.25">
      <c r="A41" s="177" t="s">
        <v>397</v>
      </c>
      <c r="B41" s="178">
        <f t="shared" ref="B41:H41" si="9">B33+B39+B34</f>
        <v>17966000.769210365</v>
      </c>
      <c r="C41" s="178">
        <f t="shared" si="9"/>
        <v>20384891.725668676</v>
      </c>
      <c r="D41" s="178">
        <f t="shared" si="9"/>
        <v>23595774.853265289</v>
      </c>
      <c r="E41" s="178">
        <f t="shared" si="9"/>
        <v>27696780.643001925</v>
      </c>
      <c r="F41" s="178">
        <f t="shared" si="9"/>
        <v>32684479.921196416</v>
      </c>
      <c r="G41" s="178">
        <f t="shared" si="9"/>
        <v>38590144.948025472</v>
      </c>
      <c r="H41" s="178">
        <f t="shared" si="9"/>
        <v>45431761.344466567</v>
      </c>
      <c r="I41" s="157"/>
      <c r="J41" s="157"/>
      <c r="K41" s="157"/>
      <c r="L41" s="157"/>
      <c r="M41" s="157"/>
      <c r="N41" s="157"/>
      <c r="O41" s="157"/>
      <c r="P41" s="157"/>
      <c r="Q41" s="157"/>
      <c r="R41" s="157"/>
    </row>
    <row r="42" spans="1:18" ht="15.75" customHeight="1" x14ac:dyDescent="0.25">
      <c r="A42" s="163"/>
      <c r="B42" s="173"/>
      <c r="C42" s="173"/>
      <c r="D42" s="173"/>
      <c r="E42" s="173"/>
      <c r="F42" s="173"/>
      <c r="G42" s="173"/>
      <c r="H42" s="173"/>
      <c r="I42" s="157"/>
      <c r="J42" s="157"/>
      <c r="K42" s="157"/>
      <c r="L42" s="157"/>
      <c r="M42" s="157"/>
      <c r="N42" s="157"/>
      <c r="O42" s="157"/>
      <c r="P42" s="157"/>
      <c r="Q42" s="157"/>
      <c r="R42" s="157"/>
    </row>
    <row r="43" spans="1:18" ht="15.75" customHeight="1" x14ac:dyDescent="0.25">
      <c r="A43" s="174" t="s">
        <v>398</v>
      </c>
      <c r="B43" s="170">
        <f t="shared" ref="B43:H43" si="10">B31+B41</f>
        <v>24319873.779491369</v>
      </c>
      <c r="C43" s="170">
        <f t="shared" si="10"/>
        <v>24868085.692624155</v>
      </c>
      <c r="D43" s="170">
        <f t="shared" si="10"/>
        <v>25971040.850858241</v>
      </c>
      <c r="E43" s="170">
        <f t="shared" si="10"/>
        <v>27696780.643001925</v>
      </c>
      <c r="F43" s="170">
        <f t="shared" si="10"/>
        <v>32684479.921196416</v>
      </c>
      <c r="G43" s="170">
        <f t="shared" si="10"/>
        <v>38590144.948025472</v>
      </c>
      <c r="H43" s="170">
        <f t="shared" si="10"/>
        <v>45431761.344466567</v>
      </c>
      <c r="I43" s="157"/>
      <c r="J43" s="157"/>
      <c r="K43" s="157"/>
      <c r="L43" s="157"/>
      <c r="M43" s="157"/>
      <c r="N43" s="157"/>
      <c r="O43" s="157"/>
      <c r="P43" s="157"/>
      <c r="Q43" s="157"/>
      <c r="R43" s="157"/>
    </row>
    <row r="44" spans="1:18" ht="15.75" customHeight="1" x14ac:dyDescent="0.25">
      <c r="A44" s="163"/>
      <c r="B44" s="167"/>
      <c r="C44" s="167"/>
      <c r="D44" s="167"/>
      <c r="E44" s="167"/>
      <c r="F44" s="167"/>
      <c r="G44" s="167"/>
      <c r="H44" s="167"/>
      <c r="I44" s="157"/>
      <c r="J44" s="157"/>
      <c r="K44" s="157"/>
      <c r="L44" s="157"/>
      <c r="M44" s="157"/>
      <c r="N44" s="157"/>
      <c r="O44" s="157"/>
      <c r="P44" s="157"/>
      <c r="Q44" s="157"/>
      <c r="R44" s="157"/>
    </row>
    <row r="45" spans="1:18" ht="15.75" customHeight="1" x14ac:dyDescent="0.25">
      <c r="A45" s="179" t="s">
        <v>399</v>
      </c>
      <c r="B45" s="180"/>
      <c r="C45" s="180"/>
      <c r="D45" s="180"/>
      <c r="E45" s="180"/>
      <c r="F45" s="180"/>
      <c r="G45" s="180"/>
      <c r="H45" s="180"/>
      <c r="I45" s="157"/>
      <c r="J45" s="157"/>
      <c r="K45" s="157"/>
      <c r="L45" s="157"/>
      <c r="M45" s="157"/>
      <c r="N45" s="157"/>
      <c r="O45" s="157"/>
      <c r="P45" s="157"/>
      <c r="Q45" s="157"/>
      <c r="R45" s="157"/>
    </row>
    <row r="46" spans="1:18" ht="15.75" customHeight="1" x14ac:dyDescent="0.25">
      <c r="A46" s="181" t="s">
        <v>400</v>
      </c>
      <c r="B46" s="182">
        <f t="shared" ref="B46:H46" si="11">B43-B20</f>
        <v>0</v>
      </c>
      <c r="C46" s="182">
        <f t="shared" si="11"/>
        <v>0</v>
      </c>
      <c r="D46" s="182">
        <f t="shared" si="11"/>
        <v>0</v>
      </c>
      <c r="E46" s="182">
        <f t="shared" si="11"/>
        <v>0</v>
      </c>
      <c r="F46" s="182">
        <f t="shared" si="11"/>
        <v>0</v>
      </c>
      <c r="G46" s="182">
        <f t="shared" si="11"/>
        <v>0</v>
      </c>
      <c r="H46" s="182">
        <f t="shared" si="11"/>
        <v>0</v>
      </c>
      <c r="I46" s="157"/>
      <c r="J46" s="157"/>
      <c r="K46" s="157"/>
      <c r="L46" s="157"/>
      <c r="M46" s="157"/>
      <c r="N46" s="157"/>
      <c r="O46" s="157"/>
      <c r="P46" s="157"/>
      <c r="Q46" s="157"/>
      <c r="R46" s="157"/>
    </row>
    <row r="47" spans="1:18" ht="15.75" customHeight="1" x14ac:dyDescent="0.25">
      <c r="A47" s="181"/>
      <c r="B47" s="182"/>
      <c r="C47" s="182"/>
      <c r="D47" s="182"/>
      <c r="E47" s="182"/>
      <c r="F47" s="182"/>
      <c r="G47" s="182"/>
      <c r="H47" s="182"/>
      <c r="I47" s="157"/>
      <c r="J47" s="157"/>
      <c r="K47" s="157"/>
      <c r="L47" s="157"/>
      <c r="M47" s="157"/>
      <c r="N47" s="157"/>
      <c r="O47" s="157"/>
      <c r="P47" s="157"/>
      <c r="Q47" s="157"/>
      <c r="R47" s="157"/>
    </row>
    <row r="48" spans="1:18" ht="15.75" customHeight="1" x14ac:dyDescent="0.25">
      <c r="A48" s="183"/>
      <c r="B48" s="184"/>
      <c r="C48" s="184"/>
      <c r="D48" s="184"/>
      <c r="E48" s="184"/>
      <c r="F48" s="184"/>
      <c r="G48" s="184"/>
      <c r="H48" s="184"/>
      <c r="I48" s="157"/>
      <c r="J48" s="157"/>
      <c r="K48" s="157"/>
      <c r="L48" s="157"/>
      <c r="M48" s="157"/>
      <c r="N48" s="157"/>
      <c r="O48" s="157"/>
      <c r="P48" s="157"/>
      <c r="Q48" s="157"/>
      <c r="R48" s="157"/>
    </row>
    <row r="49" spans="1:18" ht="15.75" customHeight="1" x14ac:dyDescent="0.25">
      <c r="A49" s="157"/>
      <c r="B49" s="185"/>
      <c r="C49" s="185"/>
      <c r="D49" s="185"/>
      <c r="E49" s="185"/>
      <c r="F49" s="185"/>
      <c r="G49" s="185"/>
      <c r="H49" s="185"/>
      <c r="I49" s="157"/>
      <c r="J49" s="157"/>
      <c r="K49" s="157"/>
      <c r="L49" s="157"/>
      <c r="M49" s="157"/>
      <c r="N49" s="157"/>
      <c r="O49" s="157"/>
      <c r="P49" s="157"/>
      <c r="Q49" s="157"/>
      <c r="R49" s="157"/>
    </row>
    <row r="50" spans="1:18" ht="39" customHeight="1" x14ac:dyDescent="0.25">
      <c r="A50" s="377" t="s">
        <v>401</v>
      </c>
      <c r="B50" s="338"/>
      <c r="C50" s="338"/>
      <c r="D50" s="338"/>
      <c r="E50" s="338"/>
      <c r="F50" s="338"/>
      <c r="G50" s="338"/>
      <c r="H50" s="338"/>
      <c r="I50" s="338"/>
      <c r="J50" s="157"/>
      <c r="K50" s="157"/>
      <c r="L50" s="157"/>
      <c r="M50" s="157"/>
      <c r="N50" s="157"/>
      <c r="O50" s="157"/>
      <c r="P50" s="157"/>
      <c r="Q50" s="157"/>
      <c r="R50" s="157"/>
    </row>
    <row r="51" spans="1:18" ht="15.75" customHeight="1" x14ac:dyDescent="0.25">
      <c r="A51" s="157"/>
      <c r="B51" s="157"/>
      <c r="C51" s="157"/>
      <c r="D51" s="157"/>
      <c r="E51" s="157"/>
      <c r="F51" s="157"/>
      <c r="G51" s="157"/>
      <c r="H51" s="157"/>
      <c r="I51" s="157"/>
      <c r="J51" s="157"/>
      <c r="K51" s="157"/>
      <c r="L51" s="157"/>
      <c r="M51" s="157"/>
      <c r="N51" s="157"/>
      <c r="O51" s="157"/>
      <c r="P51" s="157"/>
      <c r="Q51" s="157"/>
      <c r="R51" s="157"/>
    </row>
    <row r="52" spans="1:18" ht="15.75" customHeight="1" x14ac:dyDescent="0.25">
      <c r="A52" s="157"/>
      <c r="B52" s="157"/>
      <c r="C52" s="157"/>
      <c r="D52" s="157"/>
      <c r="E52" s="157"/>
      <c r="F52" s="157"/>
      <c r="G52" s="157"/>
      <c r="H52" s="157"/>
      <c r="I52" s="157"/>
      <c r="J52" s="157"/>
      <c r="K52" s="157"/>
      <c r="L52" s="157"/>
      <c r="M52" s="157"/>
      <c r="N52" s="157"/>
      <c r="O52" s="157"/>
      <c r="P52" s="157"/>
      <c r="Q52" s="157"/>
      <c r="R52" s="157"/>
    </row>
    <row r="53" spans="1:18" ht="15.75" customHeight="1" x14ac:dyDescent="0.25">
      <c r="A53" s="157"/>
      <c r="B53" s="157"/>
      <c r="C53" s="157"/>
      <c r="D53" s="157"/>
      <c r="E53" s="157"/>
      <c r="F53" s="157"/>
      <c r="G53" s="157"/>
      <c r="H53" s="157"/>
      <c r="I53" s="157"/>
      <c r="J53" s="157"/>
      <c r="K53" s="157"/>
      <c r="L53" s="157"/>
      <c r="M53" s="157"/>
      <c r="N53" s="157"/>
      <c r="O53" s="157"/>
      <c r="P53" s="157"/>
      <c r="Q53" s="157"/>
      <c r="R53" s="157"/>
    </row>
    <row r="54" spans="1:18" ht="15.75" customHeight="1" x14ac:dyDescent="0.25">
      <c r="A54" s="157"/>
      <c r="B54" s="157"/>
      <c r="C54" s="157"/>
      <c r="D54" s="157"/>
      <c r="E54" s="157"/>
      <c r="F54" s="157"/>
      <c r="G54" s="157"/>
      <c r="H54" s="157"/>
      <c r="I54" s="157"/>
      <c r="J54" s="157"/>
      <c r="K54" s="157"/>
      <c r="L54" s="157"/>
      <c r="M54" s="157"/>
      <c r="N54" s="157"/>
      <c r="O54" s="157"/>
      <c r="P54" s="157"/>
      <c r="Q54" s="157"/>
      <c r="R54" s="157"/>
    </row>
    <row r="55" spans="1:18" ht="15.75" customHeight="1" x14ac:dyDescent="0.25">
      <c r="A55" s="157"/>
      <c r="B55" s="157"/>
      <c r="C55" s="157"/>
      <c r="D55" s="157"/>
      <c r="E55" s="157"/>
      <c r="F55" s="157"/>
      <c r="G55" s="157"/>
      <c r="H55" s="157"/>
      <c r="I55" s="157"/>
      <c r="J55" s="157"/>
      <c r="K55" s="157"/>
      <c r="L55" s="157"/>
      <c r="M55" s="157"/>
      <c r="N55" s="157"/>
      <c r="O55" s="157"/>
      <c r="P55" s="157"/>
      <c r="Q55" s="157"/>
      <c r="R55" s="157"/>
    </row>
    <row r="56" spans="1:18" ht="15.75" customHeight="1" x14ac:dyDescent="0.25">
      <c r="A56" s="157"/>
      <c r="B56" s="157"/>
      <c r="C56" s="157"/>
      <c r="D56" s="157"/>
      <c r="E56" s="157"/>
      <c r="F56" s="157"/>
      <c r="G56" s="157"/>
      <c r="H56" s="157"/>
      <c r="I56" s="157"/>
      <c r="J56" s="157"/>
      <c r="K56" s="157"/>
      <c r="L56" s="157"/>
      <c r="M56" s="157"/>
      <c r="N56" s="157"/>
      <c r="O56" s="157"/>
      <c r="P56" s="157"/>
      <c r="Q56" s="157"/>
      <c r="R56" s="157"/>
    </row>
    <row r="57" spans="1:18" ht="15.75" customHeight="1" x14ac:dyDescent="0.25">
      <c r="A57" s="157"/>
      <c r="B57" s="157"/>
      <c r="C57" s="157"/>
      <c r="D57" s="157"/>
      <c r="E57" s="157"/>
      <c r="F57" s="157"/>
      <c r="G57" s="157"/>
      <c r="H57" s="157"/>
      <c r="I57" s="157"/>
      <c r="J57" s="157"/>
      <c r="K57" s="157"/>
      <c r="L57" s="157"/>
      <c r="M57" s="157"/>
      <c r="N57" s="157"/>
      <c r="O57" s="157"/>
      <c r="P57" s="157"/>
      <c r="Q57" s="157"/>
      <c r="R57" s="157"/>
    </row>
    <row r="58" spans="1:18" ht="15.75" customHeight="1" x14ac:dyDescent="0.25">
      <c r="A58" s="157"/>
      <c r="B58" s="157"/>
      <c r="C58" s="157"/>
      <c r="D58" s="157"/>
      <c r="E58" s="157"/>
      <c r="F58" s="157"/>
      <c r="G58" s="157"/>
      <c r="H58" s="157"/>
      <c r="I58" s="157"/>
      <c r="J58" s="157"/>
      <c r="K58" s="157"/>
      <c r="L58" s="157"/>
      <c r="M58" s="157"/>
      <c r="N58" s="157"/>
      <c r="O58" s="157"/>
      <c r="P58" s="157"/>
      <c r="Q58" s="157"/>
      <c r="R58" s="157"/>
    </row>
    <row r="59" spans="1:18" ht="15.75" customHeight="1" x14ac:dyDescent="0.25">
      <c r="A59" s="157"/>
      <c r="B59" s="157"/>
      <c r="C59" s="157"/>
      <c r="D59" s="157"/>
      <c r="E59" s="157"/>
      <c r="F59" s="157"/>
      <c r="G59" s="157"/>
      <c r="H59" s="157"/>
      <c r="I59" s="157"/>
      <c r="J59" s="157"/>
      <c r="K59" s="157"/>
      <c r="L59" s="157"/>
      <c r="M59" s="157"/>
      <c r="N59" s="157"/>
      <c r="O59" s="157"/>
      <c r="P59" s="157"/>
      <c r="Q59" s="157"/>
      <c r="R59" s="157"/>
    </row>
    <row r="60" spans="1:18" ht="15.75" customHeight="1" x14ac:dyDescent="0.25">
      <c r="A60" s="157"/>
      <c r="B60" s="157"/>
      <c r="C60" s="157"/>
      <c r="D60" s="157"/>
      <c r="E60" s="157"/>
      <c r="F60" s="157"/>
      <c r="G60" s="157"/>
      <c r="H60" s="157"/>
      <c r="I60" s="157"/>
      <c r="J60" s="157"/>
      <c r="K60" s="157"/>
      <c r="L60" s="157"/>
      <c r="M60" s="157"/>
      <c r="N60" s="157"/>
      <c r="O60" s="157"/>
      <c r="P60" s="157"/>
      <c r="Q60" s="157"/>
      <c r="R60" s="157"/>
    </row>
    <row r="61" spans="1:18" ht="15.75" customHeight="1" x14ac:dyDescent="0.25">
      <c r="A61" s="157"/>
      <c r="B61" s="157"/>
      <c r="C61" s="157"/>
      <c r="D61" s="157"/>
      <c r="E61" s="157"/>
      <c r="F61" s="157"/>
      <c r="G61" s="157"/>
      <c r="H61" s="157"/>
      <c r="I61" s="157"/>
      <c r="J61" s="157"/>
      <c r="K61" s="157"/>
      <c r="L61" s="157"/>
      <c r="M61" s="157"/>
      <c r="N61" s="157"/>
      <c r="O61" s="157"/>
      <c r="P61" s="157"/>
      <c r="Q61" s="157"/>
      <c r="R61" s="157"/>
    </row>
    <row r="62" spans="1:18" ht="15.75" customHeight="1" x14ac:dyDescent="0.25">
      <c r="A62" s="157"/>
      <c r="B62" s="157"/>
      <c r="C62" s="157"/>
      <c r="D62" s="157"/>
      <c r="E62" s="157"/>
      <c r="F62" s="157"/>
      <c r="G62" s="157"/>
      <c r="H62" s="157"/>
      <c r="I62" s="157"/>
      <c r="J62" s="157"/>
      <c r="K62" s="157"/>
      <c r="L62" s="157"/>
      <c r="M62" s="157"/>
      <c r="N62" s="157"/>
      <c r="O62" s="157"/>
      <c r="P62" s="157"/>
      <c r="Q62" s="157"/>
      <c r="R62" s="157"/>
    </row>
    <row r="63" spans="1:18" ht="15.75" customHeight="1" x14ac:dyDescent="0.25">
      <c r="A63" s="157"/>
      <c r="B63" s="157"/>
      <c r="C63" s="157"/>
      <c r="D63" s="157"/>
      <c r="E63" s="157"/>
      <c r="F63" s="157"/>
      <c r="G63" s="157"/>
      <c r="H63" s="157"/>
      <c r="I63" s="157"/>
      <c r="J63" s="157"/>
      <c r="K63" s="157"/>
      <c r="L63" s="157"/>
      <c r="M63" s="157"/>
      <c r="N63" s="157"/>
      <c r="O63" s="157"/>
      <c r="P63" s="157"/>
      <c r="Q63" s="157"/>
      <c r="R63" s="157"/>
    </row>
    <row r="64" spans="1:18" ht="15.75" customHeight="1" x14ac:dyDescent="0.25">
      <c r="A64" s="157"/>
      <c r="B64" s="157"/>
      <c r="C64" s="157"/>
      <c r="D64" s="157"/>
      <c r="E64" s="157"/>
      <c r="F64" s="157"/>
      <c r="G64" s="157"/>
      <c r="H64" s="157"/>
      <c r="I64" s="157"/>
      <c r="J64" s="157"/>
      <c r="K64" s="157"/>
      <c r="L64" s="157"/>
      <c r="M64" s="157"/>
      <c r="N64" s="157"/>
      <c r="O64" s="157"/>
      <c r="P64" s="157"/>
      <c r="Q64" s="157"/>
      <c r="R64" s="157"/>
    </row>
    <row r="65" spans="1:18" ht="15.75" customHeight="1" x14ac:dyDescent="0.25">
      <c r="A65" s="157"/>
      <c r="B65" s="157"/>
      <c r="C65" s="157"/>
      <c r="D65" s="157"/>
      <c r="E65" s="157"/>
      <c r="F65" s="157"/>
      <c r="G65" s="157"/>
      <c r="H65" s="157"/>
      <c r="I65" s="157"/>
      <c r="J65" s="157"/>
      <c r="K65" s="157"/>
      <c r="L65" s="157"/>
      <c r="M65" s="157"/>
      <c r="N65" s="157"/>
      <c r="O65" s="157"/>
      <c r="P65" s="157"/>
      <c r="Q65" s="157"/>
      <c r="R65" s="157"/>
    </row>
    <row r="66" spans="1:18" ht="15.75" customHeight="1" x14ac:dyDescent="0.25">
      <c r="A66" s="157"/>
      <c r="B66" s="157"/>
      <c r="C66" s="157"/>
      <c r="D66" s="157"/>
      <c r="E66" s="157"/>
      <c r="F66" s="157"/>
      <c r="G66" s="157"/>
      <c r="H66" s="157"/>
      <c r="I66" s="157"/>
      <c r="J66" s="157"/>
      <c r="K66" s="157"/>
      <c r="L66" s="157"/>
      <c r="M66" s="157"/>
      <c r="N66" s="157"/>
      <c r="O66" s="157"/>
      <c r="P66" s="157"/>
      <c r="Q66" s="157"/>
      <c r="R66" s="157"/>
    </row>
    <row r="67" spans="1:18" ht="15.75" customHeight="1" x14ac:dyDescent="0.25">
      <c r="A67" s="157"/>
      <c r="B67" s="157"/>
      <c r="C67" s="157"/>
      <c r="D67" s="157"/>
      <c r="E67" s="157"/>
      <c r="F67" s="157"/>
      <c r="G67" s="157"/>
      <c r="H67" s="157"/>
      <c r="I67" s="157"/>
      <c r="J67" s="157"/>
      <c r="K67" s="157"/>
      <c r="L67" s="157"/>
      <c r="M67" s="157"/>
      <c r="N67" s="157"/>
      <c r="O67" s="157"/>
      <c r="P67" s="157"/>
      <c r="Q67" s="157"/>
      <c r="R67" s="157"/>
    </row>
    <row r="68" spans="1:18" ht="15.75" customHeight="1" x14ac:dyDescent="0.25">
      <c r="A68" s="157"/>
      <c r="B68" s="157"/>
      <c r="C68" s="157"/>
      <c r="D68" s="157"/>
      <c r="E68" s="157"/>
      <c r="F68" s="157"/>
      <c r="G68" s="157"/>
      <c r="H68" s="157"/>
      <c r="I68" s="157"/>
      <c r="J68" s="157"/>
      <c r="K68" s="157"/>
      <c r="L68" s="157"/>
      <c r="M68" s="157"/>
      <c r="N68" s="157"/>
      <c r="O68" s="157"/>
      <c r="P68" s="157"/>
      <c r="Q68" s="157"/>
      <c r="R68" s="157"/>
    </row>
    <row r="69" spans="1:18" ht="15.75" customHeight="1" x14ac:dyDescent="0.25">
      <c r="A69" s="157"/>
      <c r="B69" s="157"/>
      <c r="C69" s="157"/>
      <c r="D69" s="157"/>
      <c r="E69" s="157"/>
      <c r="F69" s="157"/>
      <c r="G69" s="157"/>
      <c r="H69" s="157"/>
      <c r="I69" s="157"/>
      <c r="J69" s="157"/>
      <c r="K69" s="157"/>
      <c r="L69" s="157"/>
      <c r="M69" s="157"/>
      <c r="N69" s="157"/>
      <c r="O69" s="157"/>
      <c r="P69" s="157"/>
      <c r="Q69" s="157"/>
      <c r="R69" s="157"/>
    </row>
    <row r="70" spans="1:18" ht="15.75" customHeight="1" x14ac:dyDescent="0.25">
      <c r="A70" s="157"/>
      <c r="B70" s="157"/>
      <c r="C70" s="157"/>
      <c r="D70" s="157"/>
      <c r="E70" s="157"/>
      <c r="F70" s="157"/>
      <c r="G70" s="157"/>
      <c r="H70" s="157"/>
      <c r="I70" s="157"/>
      <c r="J70" s="157"/>
      <c r="K70" s="157"/>
      <c r="L70" s="157"/>
      <c r="M70" s="157"/>
      <c r="N70" s="157"/>
      <c r="O70" s="157"/>
      <c r="P70" s="157"/>
      <c r="Q70" s="157"/>
      <c r="R70" s="157"/>
    </row>
    <row r="71" spans="1:18" ht="15.75" customHeight="1" x14ac:dyDescent="0.25">
      <c r="A71" s="157"/>
      <c r="B71" s="157"/>
      <c r="C71" s="157"/>
      <c r="D71" s="157"/>
      <c r="E71" s="157"/>
      <c r="F71" s="157"/>
      <c r="G71" s="157"/>
      <c r="H71" s="157"/>
      <c r="I71" s="157"/>
      <c r="J71" s="157"/>
      <c r="K71" s="157"/>
      <c r="L71" s="157"/>
      <c r="M71" s="157"/>
      <c r="N71" s="157"/>
      <c r="O71" s="157"/>
      <c r="P71" s="157"/>
      <c r="Q71" s="157"/>
      <c r="R71" s="157"/>
    </row>
    <row r="72" spans="1:18" ht="15.75" customHeight="1" x14ac:dyDescent="0.25">
      <c r="A72" s="157"/>
      <c r="B72" s="157"/>
      <c r="C72" s="157"/>
      <c r="D72" s="157"/>
      <c r="E72" s="157"/>
      <c r="F72" s="157"/>
      <c r="G72" s="157"/>
      <c r="H72" s="157"/>
      <c r="I72" s="157"/>
      <c r="J72" s="157"/>
      <c r="K72" s="157"/>
      <c r="L72" s="157"/>
      <c r="M72" s="157"/>
      <c r="N72" s="157"/>
      <c r="O72" s="157"/>
      <c r="P72" s="157"/>
      <c r="Q72" s="157"/>
      <c r="R72" s="157"/>
    </row>
    <row r="73" spans="1:18" ht="15.75" customHeight="1" x14ac:dyDescent="0.25">
      <c r="A73" s="157"/>
      <c r="B73" s="157"/>
      <c r="C73" s="157"/>
      <c r="D73" s="157"/>
      <c r="E73" s="157"/>
      <c r="F73" s="157"/>
      <c r="G73" s="157"/>
      <c r="H73" s="157"/>
      <c r="I73" s="157"/>
      <c r="J73" s="157"/>
      <c r="K73" s="157"/>
      <c r="L73" s="157"/>
      <c r="M73" s="157"/>
      <c r="N73" s="157"/>
      <c r="O73" s="157"/>
      <c r="P73" s="157"/>
      <c r="Q73" s="157"/>
      <c r="R73" s="157"/>
    </row>
    <row r="74" spans="1:18" ht="15.75" customHeight="1" x14ac:dyDescent="0.25">
      <c r="A74" s="157"/>
      <c r="B74" s="157"/>
      <c r="C74" s="157"/>
      <c r="D74" s="157"/>
      <c r="E74" s="157"/>
      <c r="F74" s="157"/>
      <c r="G74" s="157"/>
      <c r="H74" s="157"/>
      <c r="I74" s="157"/>
      <c r="J74" s="157"/>
      <c r="K74" s="157"/>
      <c r="L74" s="157"/>
      <c r="M74" s="157"/>
      <c r="N74" s="157"/>
      <c r="O74" s="157"/>
      <c r="P74" s="157"/>
      <c r="Q74" s="157"/>
      <c r="R74" s="157"/>
    </row>
    <row r="75" spans="1:18" ht="15.75" customHeight="1" x14ac:dyDescent="0.25">
      <c r="A75" s="157"/>
      <c r="B75" s="157"/>
      <c r="C75" s="157"/>
      <c r="D75" s="157"/>
      <c r="E75" s="157"/>
      <c r="F75" s="157"/>
      <c r="G75" s="157"/>
      <c r="H75" s="157"/>
      <c r="I75" s="157"/>
      <c r="J75" s="157"/>
      <c r="K75" s="157"/>
      <c r="L75" s="157"/>
      <c r="M75" s="157"/>
      <c r="N75" s="157"/>
      <c r="O75" s="157"/>
      <c r="P75" s="157"/>
      <c r="Q75" s="157"/>
      <c r="R75" s="157"/>
    </row>
    <row r="76" spans="1:18" ht="15.75" customHeight="1" x14ac:dyDescent="0.25">
      <c r="A76" s="157"/>
      <c r="B76" s="157"/>
      <c r="C76" s="157"/>
      <c r="D76" s="157"/>
      <c r="E76" s="157"/>
      <c r="F76" s="157"/>
      <c r="G76" s="157"/>
      <c r="H76" s="157"/>
      <c r="I76" s="157"/>
      <c r="J76" s="157"/>
      <c r="K76" s="157"/>
      <c r="L76" s="157"/>
      <c r="M76" s="157"/>
      <c r="N76" s="157"/>
      <c r="O76" s="157"/>
      <c r="P76" s="157"/>
      <c r="Q76" s="157"/>
      <c r="R76" s="157"/>
    </row>
    <row r="77" spans="1:18" ht="15.75" customHeight="1" x14ac:dyDescent="0.25">
      <c r="A77" s="157"/>
      <c r="B77" s="157"/>
      <c r="C77" s="157"/>
      <c r="D77" s="157"/>
      <c r="E77" s="157"/>
      <c r="F77" s="157"/>
      <c r="G77" s="157"/>
      <c r="H77" s="157"/>
      <c r="I77" s="157"/>
      <c r="J77" s="157"/>
      <c r="K77" s="157"/>
      <c r="L77" s="157"/>
      <c r="M77" s="157"/>
      <c r="N77" s="157"/>
      <c r="O77" s="157"/>
      <c r="P77" s="157"/>
      <c r="Q77" s="157"/>
      <c r="R77" s="157"/>
    </row>
    <row r="78" spans="1:18" ht="15.75" customHeight="1" x14ac:dyDescent="0.25">
      <c r="A78" s="157"/>
      <c r="B78" s="157"/>
      <c r="C78" s="157"/>
      <c r="D78" s="157"/>
      <c r="E78" s="157"/>
      <c r="F78" s="157"/>
      <c r="G78" s="157"/>
      <c r="H78" s="157"/>
      <c r="I78" s="157"/>
      <c r="J78" s="157"/>
      <c r="K78" s="157"/>
      <c r="L78" s="157"/>
      <c r="M78" s="157"/>
      <c r="N78" s="157"/>
      <c r="O78" s="157"/>
      <c r="P78" s="157"/>
      <c r="Q78" s="157"/>
      <c r="R78" s="157"/>
    </row>
    <row r="79" spans="1:18" ht="15.75" customHeight="1" x14ac:dyDescent="0.25">
      <c r="A79" s="157"/>
      <c r="B79" s="157"/>
      <c r="C79" s="157"/>
      <c r="D79" s="157"/>
      <c r="E79" s="157"/>
      <c r="F79" s="157"/>
      <c r="G79" s="157"/>
      <c r="H79" s="157"/>
      <c r="I79" s="157"/>
      <c r="J79" s="157"/>
      <c r="K79" s="157"/>
      <c r="L79" s="157"/>
      <c r="M79" s="157"/>
      <c r="N79" s="157"/>
      <c r="O79" s="157"/>
      <c r="P79" s="157"/>
      <c r="Q79" s="157"/>
      <c r="R79" s="157"/>
    </row>
    <row r="80" spans="1:18" ht="15.75" customHeight="1" x14ac:dyDescent="0.25">
      <c r="A80" s="157"/>
      <c r="B80" s="157"/>
      <c r="C80" s="157"/>
      <c r="D80" s="157"/>
      <c r="E80" s="157"/>
      <c r="F80" s="157"/>
      <c r="G80" s="157"/>
      <c r="H80" s="157"/>
      <c r="I80" s="157"/>
      <c r="J80" s="157"/>
      <c r="K80" s="157"/>
      <c r="L80" s="157"/>
      <c r="M80" s="157"/>
      <c r="N80" s="157"/>
      <c r="O80" s="157"/>
      <c r="P80" s="157"/>
      <c r="Q80" s="157"/>
      <c r="R80" s="157"/>
    </row>
    <row r="81" spans="1:18" ht="15.75" customHeight="1" x14ac:dyDescent="0.25">
      <c r="A81" s="157"/>
      <c r="B81" s="157"/>
      <c r="C81" s="157"/>
      <c r="D81" s="157"/>
      <c r="E81" s="157"/>
      <c r="F81" s="157"/>
      <c r="G81" s="157"/>
      <c r="H81" s="157"/>
      <c r="I81" s="157"/>
      <c r="J81" s="157"/>
      <c r="K81" s="157"/>
      <c r="L81" s="157"/>
      <c r="M81" s="157"/>
      <c r="N81" s="157"/>
      <c r="O81" s="157"/>
      <c r="P81" s="157"/>
      <c r="Q81" s="157"/>
      <c r="R81" s="157"/>
    </row>
    <row r="82" spans="1:18" ht="15.75" customHeight="1" x14ac:dyDescent="0.25">
      <c r="A82" s="157"/>
      <c r="B82" s="157"/>
      <c r="C82" s="157"/>
      <c r="D82" s="157"/>
      <c r="E82" s="157"/>
      <c r="F82" s="157"/>
      <c r="G82" s="157"/>
      <c r="H82" s="157"/>
      <c r="I82" s="157"/>
      <c r="J82" s="157"/>
      <c r="K82" s="157"/>
      <c r="L82" s="157"/>
      <c r="M82" s="157"/>
      <c r="N82" s="157"/>
      <c r="O82" s="157"/>
      <c r="P82" s="157"/>
      <c r="Q82" s="157"/>
      <c r="R82" s="157"/>
    </row>
    <row r="83" spans="1:18" ht="15.75" customHeight="1" x14ac:dyDescent="0.25">
      <c r="A83" s="157"/>
      <c r="B83" s="157"/>
      <c r="C83" s="157"/>
      <c r="D83" s="157"/>
      <c r="E83" s="157"/>
      <c r="F83" s="157"/>
      <c r="G83" s="157"/>
      <c r="H83" s="157"/>
      <c r="I83" s="157"/>
      <c r="J83" s="157"/>
      <c r="K83" s="157"/>
      <c r="L83" s="157"/>
      <c r="M83" s="157"/>
      <c r="N83" s="157"/>
      <c r="O83" s="157"/>
      <c r="P83" s="157"/>
      <c r="Q83" s="157"/>
      <c r="R83" s="157"/>
    </row>
    <row r="84" spans="1:18" ht="15.75" customHeight="1" x14ac:dyDescent="0.25">
      <c r="A84" s="157"/>
      <c r="B84" s="157"/>
      <c r="C84" s="157"/>
      <c r="D84" s="157"/>
      <c r="E84" s="157"/>
      <c r="F84" s="157"/>
      <c r="G84" s="157"/>
      <c r="H84" s="157"/>
      <c r="I84" s="157"/>
      <c r="J84" s="157"/>
      <c r="K84" s="157"/>
      <c r="L84" s="157"/>
      <c r="M84" s="157"/>
      <c r="N84" s="157"/>
      <c r="O84" s="157"/>
      <c r="P84" s="157"/>
      <c r="Q84" s="157"/>
      <c r="R84" s="157"/>
    </row>
    <row r="85" spans="1:18" ht="15.75" customHeight="1" x14ac:dyDescent="0.25">
      <c r="A85" s="157"/>
      <c r="B85" s="157"/>
      <c r="C85" s="157"/>
      <c r="D85" s="157"/>
      <c r="E85" s="157"/>
      <c r="F85" s="157"/>
      <c r="G85" s="157"/>
      <c r="H85" s="157"/>
      <c r="I85" s="157"/>
      <c r="J85" s="157"/>
      <c r="K85" s="157"/>
      <c r="L85" s="157"/>
      <c r="M85" s="157"/>
      <c r="N85" s="157"/>
      <c r="O85" s="157"/>
      <c r="P85" s="157"/>
      <c r="Q85" s="157"/>
      <c r="R85" s="157"/>
    </row>
    <row r="86" spans="1:18" ht="15.75" customHeight="1" x14ac:dyDescent="0.25">
      <c r="A86" s="157"/>
      <c r="B86" s="157"/>
      <c r="C86" s="157"/>
      <c r="D86" s="157"/>
      <c r="E86" s="157"/>
      <c r="F86" s="157"/>
      <c r="G86" s="157"/>
      <c r="H86" s="157"/>
      <c r="I86" s="157"/>
      <c r="J86" s="157"/>
      <c r="K86" s="157"/>
      <c r="L86" s="157"/>
      <c r="M86" s="157"/>
      <c r="N86" s="157"/>
      <c r="O86" s="157"/>
      <c r="P86" s="157"/>
      <c r="Q86" s="157"/>
      <c r="R86" s="157"/>
    </row>
    <row r="87" spans="1:18" ht="15.75" customHeight="1" x14ac:dyDescent="0.25">
      <c r="A87" s="157"/>
      <c r="B87" s="157"/>
      <c r="C87" s="157"/>
      <c r="D87" s="157"/>
      <c r="E87" s="157"/>
      <c r="F87" s="157"/>
      <c r="G87" s="157"/>
      <c r="H87" s="157"/>
      <c r="I87" s="157"/>
      <c r="J87" s="157"/>
      <c r="K87" s="157"/>
      <c r="L87" s="157"/>
      <c r="M87" s="157"/>
      <c r="N87" s="157"/>
      <c r="O87" s="157"/>
      <c r="P87" s="157"/>
      <c r="Q87" s="157"/>
      <c r="R87" s="157"/>
    </row>
    <row r="88" spans="1:18" ht="15.75" customHeight="1" x14ac:dyDescent="0.25">
      <c r="A88" s="157"/>
      <c r="B88" s="157"/>
      <c r="C88" s="157"/>
      <c r="D88" s="157"/>
      <c r="E88" s="157"/>
      <c r="F88" s="157"/>
      <c r="G88" s="157"/>
      <c r="H88" s="157"/>
      <c r="I88" s="157"/>
      <c r="J88" s="157"/>
      <c r="K88" s="157"/>
      <c r="L88" s="157"/>
      <c r="M88" s="157"/>
      <c r="N88" s="157"/>
      <c r="O88" s="157"/>
      <c r="P88" s="157"/>
      <c r="Q88" s="157"/>
      <c r="R88" s="157"/>
    </row>
    <row r="89" spans="1:18" ht="15.75" customHeight="1" x14ac:dyDescent="0.25">
      <c r="A89" s="157"/>
      <c r="B89" s="157"/>
      <c r="C89" s="157"/>
      <c r="D89" s="157"/>
      <c r="E89" s="157"/>
      <c r="F89" s="157"/>
      <c r="G89" s="157"/>
      <c r="H89" s="157"/>
      <c r="I89" s="157"/>
      <c r="J89" s="157"/>
      <c r="K89" s="157"/>
      <c r="L89" s="157"/>
      <c r="M89" s="157"/>
      <c r="N89" s="157"/>
      <c r="O89" s="157"/>
      <c r="P89" s="157"/>
      <c r="Q89" s="157"/>
      <c r="R89" s="157"/>
    </row>
    <row r="90" spans="1:18" ht="15.75" customHeight="1" x14ac:dyDescent="0.25">
      <c r="A90" s="157"/>
      <c r="B90" s="157"/>
      <c r="C90" s="157"/>
      <c r="D90" s="157"/>
      <c r="E90" s="157"/>
      <c r="F90" s="157"/>
      <c r="G90" s="157"/>
      <c r="H90" s="157"/>
      <c r="I90" s="157"/>
      <c r="J90" s="157"/>
      <c r="K90" s="157"/>
      <c r="L90" s="157"/>
      <c r="M90" s="157"/>
      <c r="N90" s="157"/>
      <c r="O90" s="157"/>
      <c r="P90" s="157"/>
      <c r="Q90" s="157"/>
      <c r="R90" s="157"/>
    </row>
    <row r="91" spans="1:18" ht="15.75" customHeight="1" x14ac:dyDescent="0.25">
      <c r="A91" s="157"/>
      <c r="B91" s="157"/>
      <c r="C91" s="157"/>
      <c r="D91" s="157"/>
      <c r="E91" s="157"/>
      <c r="F91" s="157"/>
      <c r="G91" s="157"/>
      <c r="H91" s="157"/>
      <c r="I91" s="157"/>
      <c r="J91" s="157"/>
      <c r="K91" s="157"/>
      <c r="L91" s="157"/>
      <c r="M91" s="157"/>
      <c r="N91" s="157"/>
      <c r="O91" s="157"/>
      <c r="P91" s="157"/>
      <c r="Q91" s="157"/>
      <c r="R91" s="157"/>
    </row>
    <row r="92" spans="1:18" ht="15.75" customHeight="1" x14ac:dyDescent="0.25">
      <c r="A92" s="157"/>
      <c r="B92" s="157"/>
      <c r="C92" s="157"/>
      <c r="D92" s="157"/>
      <c r="E92" s="157"/>
      <c r="F92" s="157"/>
      <c r="G92" s="157"/>
      <c r="H92" s="157"/>
      <c r="I92" s="157"/>
      <c r="J92" s="157"/>
      <c r="K92" s="157"/>
      <c r="L92" s="157"/>
      <c r="M92" s="157"/>
      <c r="N92" s="157"/>
      <c r="O92" s="157"/>
      <c r="P92" s="157"/>
      <c r="Q92" s="157"/>
      <c r="R92" s="157"/>
    </row>
    <row r="93" spans="1:18" ht="15.75" customHeight="1" x14ac:dyDescent="0.25">
      <c r="A93" s="157"/>
      <c r="B93" s="157"/>
      <c r="C93" s="157"/>
      <c r="D93" s="157"/>
      <c r="E93" s="157"/>
      <c r="F93" s="157"/>
      <c r="G93" s="157"/>
      <c r="H93" s="157"/>
      <c r="I93" s="157"/>
      <c r="J93" s="157"/>
      <c r="K93" s="157"/>
      <c r="L93" s="157"/>
      <c r="M93" s="157"/>
      <c r="N93" s="157"/>
      <c r="O93" s="157"/>
      <c r="P93" s="157"/>
      <c r="Q93" s="157"/>
      <c r="R93" s="157"/>
    </row>
    <row r="94" spans="1:18" ht="15.75" customHeight="1" x14ac:dyDescent="0.25">
      <c r="A94" s="157"/>
      <c r="B94" s="157"/>
      <c r="C94" s="157"/>
      <c r="D94" s="157"/>
      <c r="E94" s="157"/>
      <c r="F94" s="157"/>
      <c r="G94" s="157"/>
      <c r="H94" s="157"/>
      <c r="I94" s="157"/>
      <c r="J94" s="157"/>
      <c r="K94" s="157"/>
      <c r="L94" s="157"/>
      <c r="M94" s="157"/>
      <c r="N94" s="157"/>
      <c r="O94" s="157"/>
      <c r="P94" s="157"/>
      <c r="Q94" s="157"/>
      <c r="R94" s="157"/>
    </row>
    <row r="95" spans="1:18" ht="15.75" customHeight="1" x14ac:dyDescent="0.25">
      <c r="A95" s="157"/>
      <c r="B95" s="157"/>
      <c r="C95" s="157"/>
      <c r="D95" s="157"/>
      <c r="E95" s="157"/>
      <c r="F95" s="157"/>
      <c r="G95" s="157"/>
      <c r="H95" s="157"/>
      <c r="I95" s="157"/>
      <c r="J95" s="157"/>
      <c r="K95" s="157"/>
      <c r="L95" s="157"/>
      <c r="M95" s="157"/>
      <c r="N95" s="157"/>
      <c r="O95" s="157"/>
      <c r="P95" s="157"/>
      <c r="Q95" s="157"/>
      <c r="R95" s="157"/>
    </row>
    <row r="96" spans="1:18" ht="15.75" customHeight="1" x14ac:dyDescent="0.25">
      <c r="A96" s="157"/>
      <c r="B96" s="157"/>
      <c r="C96" s="157"/>
      <c r="D96" s="157"/>
      <c r="E96" s="157"/>
      <c r="F96" s="157"/>
      <c r="G96" s="157"/>
      <c r="H96" s="157"/>
      <c r="I96" s="157"/>
      <c r="J96" s="157"/>
      <c r="K96" s="157"/>
      <c r="L96" s="157"/>
      <c r="M96" s="157"/>
      <c r="N96" s="157"/>
      <c r="O96" s="157"/>
      <c r="P96" s="157"/>
      <c r="Q96" s="157"/>
      <c r="R96" s="157"/>
    </row>
    <row r="97" spans="1:18" ht="15.75" customHeight="1" x14ac:dyDescent="0.25">
      <c r="A97" s="157"/>
      <c r="B97" s="157"/>
      <c r="C97" s="157"/>
      <c r="D97" s="157"/>
      <c r="E97" s="157"/>
      <c r="F97" s="157"/>
      <c r="G97" s="157"/>
      <c r="H97" s="157"/>
      <c r="I97" s="157"/>
      <c r="J97" s="157"/>
      <c r="K97" s="157"/>
      <c r="L97" s="157"/>
      <c r="M97" s="157"/>
      <c r="N97" s="157"/>
      <c r="O97" s="157"/>
      <c r="P97" s="157"/>
      <c r="Q97" s="157"/>
      <c r="R97" s="157"/>
    </row>
    <row r="98" spans="1:18" ht="15.75" customHeight="1" x14ac:dyDescent="0.25">
      <c r="A98" s="157"/>
      <c r="B98" s="157"/>
      <c r="C98" s="157"/>
      <c r="D98" s="157"/>
      <c r="E98" s="157"/>
      <c r="F98" s="157"/>
      <c r="G98" s="157"/>
      <c r="H98" s="157"/>
      <c r="I98" s="157"/>
      <c r="J98" s="157"/>
      <c r="K98" s="157"/>
      <c r="L98" s="157"/>
      <c r="M98" s="157"/>
      <c r="N98" s="157"/>
      <c r="O98" s="157"/>
      <c r="P98" s="157"/>
      <c r="Q98" s="157"/>
      <c r="R98" s="157"/>
    </row>
    <row r="99" spans="1:18" ht="15.75" customHeight="1" x14ac:dyDescent="0.25">
      <c r="A99" s="157"/>
      <c r="B99" s="157"/>
      <c r="C99" s="157"/>
      <c r="D99" s="157"/>
      <c r="E99" s="157"/>
      <c r="F99" s="157"/>
      <c r="G99" s="157"/>
      <c r="H99" s="157"/>
      <c r="I99" s="157"/>
      <c r="J99" s="157"/>
      <c r="K99" s="157"/>
      <c r="L99" s="157"/>
      <c r="M99" s="157"/>
      <c r="N99" s="157"/>
      <c r="O99" s="157"/>
      <c r="P99" s="157"/>
      <c r="Q99" s="157"/>
      <c r="R99" s="157"/>
    </row>
    <row r="100" spans="1:18" ht="15.75" customHeight="1" x14ac:dyDescent="0.25">
      <c r="A100" s="157"/>
      <c r="B100" s="157"/>
      <c r="C100" s="157"/>
      <c r="D100" s="157"/>
      <c r="E100" s="157"/>
      <c r="F100" s="157"/>
      <c r="G100" s="157"/>
      <c r="H100" s="157"/>
      <c r="I100" s="157"/>
      <c r="J100" s="157"/>
      <c r="K100" s="157"/>
      <c r="L100" s="157"/>
      <c r="M100" s="157"/>
      <c r="N100" s="157"/>
      <c r="O100" s="157"/>
      <c r="P100" s="157"/>
      <c r="Q100" s="157"/>
      <c r="R100" s="157"/>
    </row>
  </sheetData>
  <mergeCells count="3">
    <mergeCell ref="A1:F1"/>
    <mergeCell ref="A2:H2"/>
    <mergeCell ref="A50:I50"/>
  </mergeCells>
  <conditionalFormatting sqref="B36:F38 B37:H37">
    <cfRule type="cellIs" dxfId="2" priority="1" operator="lessThan">
      <formula>0</formula>
    </cfRule>
  </conditionalFormatting>
  <conditionalFormatting sqref="G36:G38">
    <cfRule type="cellIs" dxfId="1" priority="2" operator="lessThan">
      <formula>0</formula>
    </cfRule>
  </conditionalFormatting>
  <conditionalFormatting sqref="H36:H38">
    <cfRule type="cellIs" dxfId="0" priority="3" operator="lessThan">
      <formula>0</formula>
    </cfRule>
  </conditionalFormatting>
  <printOptions horizontalCentered="1"/>
  <pageMargins left="0.23622047244094491" right="0.23622047244094491" top="0.74803149606299213" bottom="0.74803149606299213" header="0.31496062992125984" footer="0.31496062992125984"/>
  <pageSetup paperSize="9" scale="90" fitToHeight="0" orientation="landscape" r:id="rId1"/>
  <rowBreaks count="1" manualBreakCount="1">
    <brk id="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view="pageBreakPreview" zoomScale="60" zoomScaleNormal="100" workbookViewId="0">
      <selection activeCell="C26" sqref="C26"/>
    </sheetView>
  </sheetViews>
  <sheetFormatPr defaultColWidth="14.42578125" defaultRowHeight="15" customHeight="1" x14ac:dyDescent="0.25"/>
  <cols>
    <col min="1" max="1" width="3.5703125" customWidth="1"/>
    <col min="2" max="2" width="35.7109375" customWidth="1"/>
    <col min="3" max="3" width="15.5703125" customWidth="1"/>
    <col min="4" max="4" width="15.7109375" customWidth="1"/>
    <col min="5" max="5" width="14.5703125" customWidth="1"/>
    <col min="6" max="6" width="14.7109375" customWidth="1"/>
    <col min="7" max="7" width="18.85546875" customWidth="1"/>
    <col min="8" max="9" width="14.85546875" customWidth="1"/>
    <col min="10" max="10" width="8.7109375" customWidth="1"/>
    <col min="11" max="11" width="10.5703125" bestFit="1" customWidth="1"/>
  </cols>
  <sheetData>
    <row r="1" spans="1:10" x14ac:dyDescent="0.25">
      <c r="A1" s="375"/>
      <c r="B1" s="338"/>
      <c r="C1" s="338"/>
      <c r="D1" s="338"/>
      <c r="E1" s="338"/>
      <c r="F1" s="338"/>
      <c r="G1" s="338"/>
    </row>
    <row r="2" spans="1:10" ht="18.75" x14ac:dyDescent="0.3">
      <c r="A2" s="354" t="s">
        <v>402</v>
      </c>
      <c r="B2" s="338"/>
      <c r="C2" s="338"/>
      <c r="D2" s="338"/>
      <c r="E2" s="338"/>
      <c r="F2" s="338"/>
      <c r="G2" s="338"/>
      <c r="H2" s="338"/>
      <c r="I2" s="338"/>
      <c r="J2" s="158"/>
    </row>
    <row r="4" spans="1:10" x14ac:dyDescent="0.25">
      <c r="A4" s="186" t="s">
        <v>403</v>
      </c>
      <c r="B4" s="186" t="s">
        <v>148</v>
      </c>
      <c r="C4" s="81" t="s">
        <v>151</v>
      </c>
      <c r="D4" s="81" t="s">
        <v>152</v>
      </c>
      <c r="E4" s="81" t="s">
        <v>153</v>
      </c>
      <c r="F4" s="81" t="s">
        <v>154</v>
      </c>
      <c r="G4" s="81" t="s">
        <v>155</v>
      </c>
      <c r="H4" s="81" t="s">
        <v>156</v>
      </c>
      <c r="I4" s="81" t="s">
        <v>157</v>
      </c>
    </row>
    <row r="5" spans="1:10" x14ac:dyDescent="0.25">
      <c r="A5" s="187">
        <v>1</v>
      </c>
      <c r="B5" s="187" t="s">
        <v>404</v>
      </c>
      <c r="C5" s="188"/>
      <c r="D5" s="188"/>
      <c r="E5" s="188"/>
      <c r="F5" s="188"/>
      <c r="G5" s="188"/>
      <c r="H5" s="188"/>
      <c r="I5" s="188"/>
    </row>
    <row r="6" spans="1:10" x14ac:dyDescent="0.25">
      <c r="A6" s="187"/>
      <c r="B6" s="189" t="s">
        <v>405</v>
      </c>
      <c r="C6" s="188">
        <f>'6.Cons Profit &amp; Loss'!B15</f>
        <v>35842152.5</v>
      </c>
      <c r="D6" s="188">
        <f>'6.Cons Profit &amp; Loss'!C15</f>
        <v>43157546.25</v>
      </c>
      <c r="E6" s="188">
        <f>'6.Cons Profit &amp; Loss'!D15</f>
        <v>50755691.896875009</v>
      </c>
      <c r="F6" s="188">
        <f>'6.Cons Profit &amp; Loss'!E15</f>
        <v>59005758.242812514</v>
      </c>
      <c r="G6" s="188">
        <f>'6.Cons Profit &amp; Loss'!F15</f>
        <v>67953941.993601575</v>
      </c>
      <c r="H6" s="188">
        <f>'6.Cons Profit &amp; Loss'!G15</f>
        <v>77649429.723862529</v>
      </c>
      <c r="I6" s="188">
        <f>'6.Cons Profit &amp; Loss'!H15</f>
        <v>88144581.372165591</v>
      </c>
    </row>
    <row r="7" spans="1:10" x14ac:dyDescent="0.25">
      <c r="A7" s="187">
        <v>2</v>
      </c>
      <c r="B7" s="187" t="s">
        <v>406</v>
      </c>
      <c r="C7" s="188">
        <f>'1.Project Cost and MOF'!E21</f>
        <v>1798146.0626643831</v>
      </c>
      <c r="D7" s="188"/>
      <c r="E7" s="188"/>
      <c r="F7" s="188"/>
      <c r="G7" s="188"/>
      <c r="H7" s="188"/>
      <c r="I7" s="188"/>
    </row>
    <row r="8" spans="1:10" x14ac:dyDescent="0.25">
      <c r="A8" s="187"/>
      <c r="B8" s="187" t="s">
        <v>407</v>
      </c>
      <c r="C8" s="188"/>
      <c r="D8" s="188"/>
      <c r="E8" s="188"/>
      <c r="F8" s="188"/>
      <c r="G8" s="188"/>
      <c r="H8" s="188"/>
      <c r="I8" s="188"/>
    </row>
    <row r="9" spans="1:10" x14ac:dyDescent="0.25">
      <c r="A9" s="187">
        <v>3</v>
      </c>
      <c r="B9" s="187" t="str">
        <f>'7.Balance Sheet'!A34</f>
        <v>Smart Grant -in-Aid</v>
      </c>
      <c r="C9" s="188">
        <f>'1.Project Cost and MOF'!E19</f>
        <v>14008295.447999999</v>
      </c>
      <c r="D9" s="188"/>
      <c r="E9" s="188"/>
      <c r="F9" s="188"/>
      <c r="G9" s="188"/>
      <c r="H9" s="188"/>
      <c r="I9" s="188"/>
    </row>
    <row r="10" spans="1:10" x14ac:dyDescent="0.25">
      <c r="A10" s="187">
        <v>4</v>
      </c>
      <c r="B10" s="187" t="s">
        <v>408</v>
      </c>
      <c r="C10" s="188">
        <f>'1.Project Cost and MOF'!E20</f>
        <v>8014005.6779999984</v>
      </c>
      <c r="D10" s="188"/>
      <c r="E10" s="188"/>
      <c r="F10" s="188"/>
      <c r="G10" s="188"/>
      <c r="H10" s="188"/>
      <c r="I10" s="188"/>
    </row>
    <row r="11" spans="1:10" x14ac:dyDescent="0.25">
      <c r="A11" s="187">
        <v>5</v>
      </c>
      <c r="B11" s="187" t="s">
        <v>409</v>
      </c>
      <c r="C11" s="188">
        <f>'5.Closing Stock &amp; W Capital'!E55*75%</f>
        <v>1419864.3259931509</v>
      </c>
      <c r="D11" s="188">
        <f>'5.Closing Stock &amp; W Capital'!F55</f>
        <v>2272048.5920376712</v>
      </c>
      <c r="E11" s="188">
        <f>'5.Closing Stock &amp; W Capital'!G55</f>
        <v>2688547.1843029112</v>
      </c>
      <c r="F11" s="188">
        <f>'5.Closing Stock &amp; W Capital'!H55</f>
        <v>3141015.5143145816</v>
      </c>
      <c r="G11" s="188">
        <f>'5.Closing Stock &amp; W Capital'!I55</f>
        <v>3632009.3093666621</v>
      </c>
      <c r="H11" s="188">
        <f>'5.Closing Stock &amp; W Capital'!J55</f>
        <v>4164249.9451381611</v>
      </c>
      <c r="I11" s="188">
        <f>'5.Closing Stock &amp; W Capital'!K55</f>
        <v>4740634.621213397</v>
      </c>
    </row>
    <row r="12" spans="1:10" x14ac:dyDescent="0.25">
      <c r="A12" s="187"/>
      <c r="B12" s="187" t="s">
        <v>410</v>
      </c>
      <c r="C12" s="190">
        <f t="shared" ref="C12:I12" si="0">SUM(C6:C11)</f>
        <v>61082464.014657527</v>
      </c>
      <c r="D12" s="190">
        <f t="shared" si="0"/>
        <v>45429594.84203767</v>
      </c>
      <c r="E12" s="190">
        <f t="shared" si="0"/>
        <v>53444239.08117792</v>
      </c>
      <c r="F12" s="190">
        <f t="shared" si="0"/>
        <v>62146773.757127099</v>
      </c>
      <c r="G12" s="190">
        <f t="shared" si="0"/>
        <v>71585951.302968234</v>
      </c>
      <c r="H12" s="190">
        <f t="shared" si="0"/>
        <v>81813679.669000685</v>
      </c>
      <c r="I12" s="190">
        <f t="shared" si="0"/>
        <v>92885215.993378982</v>
      </c>
    </row>
    <row r="13" spans="1:10" x14ac:dyDescent="0.25">
      <c r="A13" s="378" t="s">
        <v>411</v>
      </c>
      <c r="B13" s="343"/>
      <c r="C13" s="191"/>
      <c r="D13" s="191"/>
      <c r="E13" s="191"/>
      <c r="F13" s="191"/>
      <c r="G13" s="191"/>
      <c r="H13" s="191"/>
      <c r="I13" s="191"/>
    </row>
    <row r="14" spans="1:10" x14ac:dyDescent="0.25">
      <c r="A14" s="187">
        <v>1</v>
      </c>
      <c r="B14" s="187" t="s">
        <v>412</v>
      </c>
      <c r="C14" s="191"/>
      <c r="D14" s="191"/>
      <c r="E14" s="191"/>
      <c r="F14" s="191"/>
      <c r="G14" s="191"/>
      <c r="H14" s="191"/>
      <c r="I14" s="191"/>
    </row>
    <row r="15" spans="1:10" x14ac:dyDescent="0.25">
      <c r="A15" s="192" t="s">
        <v>413</v>
      </c>
      <c r="B15" s="191" t="str">
        <f>+'1.Project Cost and MOF'!C5</f>
        <v>Land and Building</v>
      </c>
      <c r="C15" s="193">
        <f>'1.Project Cost and MOF'!D5</f>
        <v>8688690</v>
      </c>
      <c r="D15" s="193"/>
      <c r="E15" s="193"/>
      <c r="F15" s="193"/>
      <c r="G15" s="193"/>
      <c r="H15" s="193"/>
      <c r="I15" s="193"/>
    </row>
    <row r="16" spans="1:10" x14ac:dyDescent="0.25">
      <c r="A16" s="192" t="s">
        <v>414</v>
      </c>
      <c r="B16" s="147" t="str">
        <f>+'1.Project Cost and MOF'!C6</f>
        <v>Machinery and Equipment</v>
      </c>
      <c r="C16" s="193">
        <f>'1.Project Cost and MOF'!D6</f>
        <v>13887229.08</v>
      </c>
      <c r="D16" s="193"/>
      <c r="E16" s="193"/>
      <c r="F16" s="193"/>
      <c r="G16" s="193"/>
      <c r="H16" s="193"/>
      <c r="I16" s="193"/>
    </row>
    <row r="17" spans="1:17" x14ac:dyDescent="0.25">
      <c r="A17" s="192" t="s">
        <v>415</v>
      </c>
      <c r="B17" s="147" t="s">
        <v>416</v>
      </c>
      <c r="C17" s="193">
        <f>'1.Project Cost and MOF'!D7</f>
        <v>200000</v>
      </c>
      <c r="D17" s="193"/>
      <c r="E17" s="193"/>
      <c r="F17" s="193"/>
      <c r="G17" s="193"/>
      <c r="H17" s="193"/>
      <c r="I17" s="193"/>
    </row>
    <row r="18" spans="1:17" x14ac:dyDescent="0.25">
      <c r="A18" s="192" t="s">
        <v>417</v>
      </c>
      <c r="B18" s="147" t="s">
        <v>418</v>
      </c>
      <c r="C18" s="193">
        <f>'1.Project Cost and MOF'!D8</f>
        <v>121240</v>
      </c>
      <c r="D18" s="193"/>
      <c r="E18" s="193"/>
      <c r="F18" s="193"/>
      <c r="G18" s="193"/>
      <c r="H18" s="193"/>
      <c r="I18" s="193"/>
    </row>
    <row r="19" spans="1:17" x14ac:dyDescent="0.25">
      <c r="A19" s="192" t="s">
        <v>419</v>
      </c>
      <c r="B19" s="147" t="s">
        <v>194</v>
      </c>
      <c r="C19" s="193">
        <f>'1.Project Cost and MOF'!D9</f>
        <v>0</v>
      </c>
      <c r="D19" s="188"/>
      <c r="E19" s="188"/>
      <c r="F19" s="188"/>
      <c r="G19" s="188"/>
      <c r="H19" s="188"/>
      <c r="I19" s="188"/>
    </row>
    <row r="20" spans="1:17" x14ac:dyDescent="0.25">
      <c r="A20" s="192" t="s">
        <v>420</v>
      </c>
      <c r="B20" s="147" t="s">
        <v>421</v>
      </c>
      <c r="C20" s="193">
        <f>'1.Project Cost and MOF'!D10</f>
        <v>450000</v>
      </c>
      <c r="D20" s="188"/>
      <c r="E20" s="188"/>
      <c r="F20" s="188"/>
      <c r="G20" s="188"/>
      <c r="H20" s="188"/>
      <c r="I20" s="188"/>
    </row>
    <row r="21" spans="1:17" ht="15.75" customHeight="1" x14ac:dyDescent="0.25">
      <c r="A21" s="187">
        <v>2</v>
      </c>
      <c r="B21" s="187" t="s">
        <v>422</v>
      </c>
      <c r="C21" s="191"/>
      <c r="D21" s="191"/>
      <c r="E21" s="191"/>
      <c r="F21" s="191"/>
      <c r="G21" s="191"/>
      <c r="H21" s="191"/>
      <c r="I21" s="191"/>
    </row>
    <row r="22" spans="1:17" ht="15.75" customHeight="1" x14ac:dyDescent="0.25">
      <c r="A22" s="192" t="s">
        <v>413</v>
      </c>
      <c r="B22" s="191" t="s">
        <v>355</v>
      </c>
      <c r="C22" s="188">
        <f>'6.Cons Profit &amp; Loss'!B25</f>
        <v>28857806.425000001</v>
      </c>
      <c r="D22" s="188">
        <f>'6.Cons Profit &amp; Loss'!C25</f>
        <v>35663655.8359375</v>
      </c>
      <c r="E22" s="188">
        <f>'6.Cons Profit &amp; Loss'!D25</f>
        <v>42127769.965968758</v>
      </c>
      <c r="F22" s="188">
        <f>'6.Cons Profit &amp; Loss'!E25</f>
        <v>49149136.369413294</v>
      </c>
      <c r="G22" s="188">
        <f>'6.Cons Profit &amp; Loss'!F25</f>
        <v>56767319.988287352</v>
      </c>
      <c r="H22" s="188">
        <f>'6.Cons Profit &amp; Loss'!G25</f>
        <v>65024449.128125295</v>
      </c>
      <c r="I22" s="188">
        <f>'6.Cons Profit &amp; Loss'!H25</f>
        <v>73965372.881976321</v>
      </c>
    </row>
    <row r="23" spans="1:17" ht="15.75" customHeight="1" x14ac:dyDescent="0.25">
      <c r="A23" s="192" t="s">
        <v>414</v>
      </c>
      <c r="B23" s="191" t="s">
        <v>357</v>
      </c>
      <c r="C23" s="188">
        <f>'6.Cons Profit &amp; Loss'!B36</f>
        <v>2391000</v>
      </c>
      <c r="D23" s="188">
        <f>'6.Cons Profit &amp; Loss'!C36</f>
        <v>2510550</v>
      </c>
      <c r="E23" s="188">
        <f>'6.Cons Profit &amp; Loss'!D36</f>
        <v>2636077.5</v>
      </c>
      <c r="F23" s="188">
        <f>'6.Cons Profit &amp; Loss'!E36</f>
        <v>2767881.3750000005</v>
      </c>
      <c r="G23" s="188">
        <f>'6.Cons Profit &amp; Loss'!F36</f>
        <v>2906275.4437500006</v>
      </c>
      <c r="H23" s="188">
        <f>'6.Cons Profit &amp; Loss'!G36</f>
        <v>3051589.2159375008</v>
      </c>
      <c r="I23" s="188">
        <f>'6.Cons Profit &amp; Loss'!H36</f>
        <v>3204168.6767343758</v>
      </c>
    </row>
    <row r="24" spans="1:17" ht="15.75" customHeight="1" x14ac:dyDescent="0.25">
      <c r="A24" s="194">
        <v>3</v>
      </c>
      <c r="B24" s="187" t="s">
        <v>423</v>
      </c>
      <c r="C24" s="188"/>
      <c r="D24" s="188"/>
      <c r="E24" s="188"/>
      <c r="F24" s="188"/>
      <c r="G24" s="188"/>
      <c r="H24" s="188"/>
      <c r="I24" s="188"/>
    </row>
    <row r="25" spans="1:17" ht="15.75" customHeight="1" x14ac:dyDescent="0.25">
      <c r="A25" s="192"/>
      <c r="B25" s="191" t="s">
        <v>424</v>
      </c>
      <c r="C25" s="188">
        <f>SUM('4.TL repayment sch'!E10:E21)</f>
        <v>1660132.6677189949</v>
      </c>
      <c r="D25" s="188">
        <f>SUM('4.TL repayment sch'!E22:E33)</f>
        <v>1870679.0433255236</v>
      </c>
      <c r="E25" s="188">
        <f>SUM('4.TL repayment sch'!E34:E45)</f>
        <v>2107927.9693625276</v>
      </c>
      <c r="F25" s="188">
        <f>SUM('4.TL repayment sch'!E46:E57)</f>
        <v>2375265.9975929521</v>
      </c>
      <c r="G25" s="188">
        <f>SUM('4.TL repayment sch'!E58:E69)</f>
        <v>8.1204071841881763E-11</v>
      </c>
      <c r="H25" s="188">
        <f>SUM('4.TL repayment sch'!E70:E81)</f>
        <v>9.1502780700067053E-11</v>
      </c>
      <c r="I25" s="188">
        <f>SUM('4.TL repayment sch'!E82:E93)</f>
        <v>1.0310762361951206E-10</v>
      </c>
    </row>
    <row r="26" spans="1:17" ht="15.75" customHeight="1" x14ac:dyDescent="0.25">
      <c r="A26" s="192"/>
      <c r="B26" s="191" t="s">
        <v>425</v>
      </c>
      <c r="C26" s="188">
        <f>SUM('4.TL repayment sch'!D10:D21)</f>
        <v>872341.41238084517</v>
      </c>
      <c r="D26" s="188">
        <f>SUM('4.TL repayment sch'!D22:D33)</f>
        <v>661795.03677431645</v>
      </c>
      <c r="E26" s="188">
        <f>SUM('4.TL repayment sch'!D34:D45)</f>
        <v>424546.11073731253</v>
      </c>
      <c r="F26" s="188">
        <f>SUM('4.TL repayment sch'!D46:D57)</f>
        <v>157208.08250688826</v>
      </c>
      <c r="G26" s="188">
        <f>SUM('4.TL repayment sch'!D58:D69)</f>
        <v>-8.1204071841881763E-11</v>
      </c>
      <c r="H26" s="188">
        <f>SUM('4.TL repayment sch'!D70:D81)</f>
        <v>-9.1502780700067053E-11</v>
      </c>
      <c r="I26" s="188">
        <f>SUM('4.TL repayment sch'!D82:D93)</f>
        <v>-1.0310762361951206E-10</v>
      </c>
      <c r="K26" s="308">
        <f>+C25+C26</f>
        <v>2532474.0800998402</v>
      </c>
      <c r="L26" s="308">
        <f t="shared" ref="L26:Q26" si="1">+D25+D26</f>
        <v>2532474.0800998402</v>
      </c>
      <c r="M26" s="308">
        <f t="shared" si="1"/>
        <v>2532474.0800998402</v>
      </c>
      <c r="N26" s="308">
        <f t="shared" si="1"/>
        <v>2532474.0800998402</v>
      </c>
      <c r="O26" s="308">
        <f t="shared" si="1"/>
        <v>0</v>
      </c>
      <c r="P26" s="308">
        <f t="shared" si="1"/>
        <v>0</v>
      </c>
      <c r="Q26" s="308">
        <f t="shared" si="1"/>
        <v>0</v>
      </c>
    </row>
    <row r="27" spans="1:17" ht="15.75" customHeight="1" x14ac:dyDescent="0.25">
      <c r="A27" s="192"/>
      <c r="B27" s="191" t="s">
        <v>426</v>
      </c>
      <c r="C27" s="188">
        <f t="shared" ref="C27:I27" si="2">C11</f>
        <v>1419864.3259931509</v>
      </c>
      <c r="D27" s="188">
        <f t="shared" si="2"/>
        <v>2272048.5920376712</v>
      </c>
      <c r="E27" s="188">
        <f t="shared" si="2"/>
        <v>2688547.1843029112</v>
      </c>
      <c r="F27" s="188">
        <f t="shared" si="2"/>
        <v>3141015.5143145816</v>
      </c>
      <c r="G27" s="188">
        <f t="shared" si="2"/>
        <v>3632009.3093666621</v>
      </c>
      <c r="H27" s="188">
        <f t="shared" si="2"/>
        <v>4164249.9451381611</v>
      </c>
      <c r="I27" s="188">
        <f t="shared" si="2"/>
        <v>4740634.621213397</v>
      </c>
    </row>
    <row r="28" spans="1:17" ht="15.75" customHeight="1" x14ac:dyDescent="0.25">
      <c r="A28" s="192"/>
      <c r="B28" s="191" t="s">
        <v>427</v>
      </c>
      <c r="C28" s="195">
        <f t="shared" ref="C28:I28" si="3">C27*12%</f>
        <v>170383.7191191781</v>
      </c>
      <c r="D28" s="195">
        <f t="shared" si="3"/>
        <v>272645.83104452054</v>
      </c>
      <c r="E28" s="195">
        <f t="shared" si="3"/>
        <v>322625.66211634933</v>
      </c>
      <c r="F28" s="195">
        <f t="shared" si="3"/>
        <v>376921.86171774979</v>
      </c>
      <c r="G28" s="195">
        <f t="shared" si="3"/>
        <v>435841.11712399946</v>
      </c>
      <c r="H28" s="195">
        <f t="shared" si="3"/>
        <v>499709.99341657932</v>
      </c>
      <c r="I28" s="195">
        <f t="shared" si="3"/>
        <v>568876.15454560763</v>
      </c>
      <c r="K28" s="308">
        <f>+C27+C28</f>
        <v>1590248.0451123291</v>
      </c>
      <c r="L28" s="308">
        <f t="shared" ref="L28" si="4">+D27+D28</f>
        <v>2544694.423082192</v>
      </c>
      <c r="M28" s="308">
        <f t="shared" ref="M28" si="5">+E27+E28</f>
        <v>3011172.8464192604</v>
      </c>
      <c r="N28" s="308">
        <f t="shared" ref="N28" si="6">+F27+F28</f>
        <v>3517937.3760323315</v>
      </c>
      <c r="O28" s="308">
        <f t="shared" ref="O28" si="7">+G27+G28</f>
        <v>4067850.4264906617</v>
      </c>
      <c r="P28" s="308">
        <f t="shared" ref="P28" si="8">+H27+H28</f>
        <v>4663959.9385547405</v>
      </c>
      <c r="Q28" s="308">
        <f t="shared" ref="Q28" si="9">+I27+I28</f>
        <v>5309510.775759005</v>
      </c>
    </row>
    <row r="29" spans="1:17" ht="15.75" customHeight="1" x14ac:dyDescent="0.25">
      <c r="A29" s="187">
        <v>4</v>
      </c>
      <c r="B29" s="187" t="s">
        <v>428</v>
      </c>
      <c r="C29" s="188">
        <f>'6.Cons Profit &amp; Loss'!B50</f>
        <v>114444.6111899938</v>
      </c>
      <c r="D29" s="188">
        <f>'6.Cons Profit &amp; Loss'!C50</f>
        <v>353391.51602135244</v>
      </c>
      <c r="E29" s="188">
        <f>'6.Cons Profit &amp; Loss'!D50</f>
        <v>757172.45669197326</v>
      </c>
      <c r="F29" s="188">
        <f>'6.Cons Profit &amp; Loss'!E50</f>
        <v>1176987.6906739464</v>
      </c>
      <c r="G29" s="188">
        <f>'6.Cons Profit &amp; Loss'!F50</f>
        <v>1580189.0924817296</v>
      </c>
      <c r="H29" s="188">
        <f>'6.Cons Profit &amp; Loss'!G50</f>
        <v>1981399.2857901023</v>
      </c>
      <c r="I29" s="188">
        <f>'6.Cons Profit &amp; Loss'!H50</f>
        <v>2377930.188704194</v>
      </c>
    </row>
    <row r="30" spans="1:17" ht="15.75" customHeight="1" x14ac:dyDescent="0.25">
      <c r="A30" s="187"/>
      <c r="B30" s="187" t="s">
        <v>429</v>
      </c>
      <c r="C30" s="190">
        <f t="shared" ref="C30:I30" si="10">SUM(C15:C29)</f>
        <v>58833132.241402149</v>
      </c>
      <c r="D30" s="190">
        <f t="shared" si="10"/>
        <v>43604765.85514088</v>
      </c>
      <c r="E30" s="190">
        <f t="shared" si="10"/>
        <v>51064666.849179827</v>
      </c>
      <c r="F30" s="190">
        <f t="shared" si="10"/>
        <v>59144416.891219415</v>
      </c>
      <c r="G30" s="190">
        <f t="shared" si="10"/>
        <v>65321634.951009743</v>
      </c>
      <c r="H30" s="190">
        <f t="shared" si="10"/>
        <v>74721397.568407625</v>
      </c>
      <c r="I30" s="190">
        <f t="shared" si="10"/>
        <v>84856982.523173884</v>
      </c>
    </row>
    <row r="31" spans="1:17" ht="15.75" customHeight="1" x14ac:dyDescent="0.25">
      <c r="A31" s="187"/>
      <c r="B31" s="187" t="s">
        <v>430</v>
      </c>
      <c r="C31" s="190">
        <f t="shared" ref="C31:I31" si="11">C12-C30</f>
        <v>2249331.773255378</v>
      </c>
      <c r="D31" s="190">
        <f t="shared" si="11"/>
        <v>1824828.9868967906</v>
      </c>
      <c r="E31" s="190">
        <f t="shared" si="11"/>
        <v>2379572.2319980934</v>
      </c>
      <c r="F31" s="190">
        <f t="shared" si="11"/>
        <v>3002356.865907684</v>
      </c>
      <c r="G31" s="190">
        <f t="shared" si="11"/>
        <v>6264316.3519584909</v>
      </c>
      <c r="H31" s="190">
        <f t="shared" si="11"/>
        <v>7092282.1005930603</v>
      </c>
      <c r="I31" s="190">
        <f t="shared" si="11"/>
        <v>8028233.4702050984</v>
      </c>
    </row>
    <row r="32" spans="1:17" ht="15.75" customHeight="1" x14ac:dyDescent="0.25">
      <c r="A32" s="194"/>
      <c r="B32" s="191" t="s">
        <v>431</v>
      </c>
      <c r="C32" s="191"/>
      <c r="D32" s="188">
        <f t="shared" ref="D32:I32" si="12">C33</f>
        <v>2249331.773255378</v>
      </c>
      <c r="E32" s="188">
        <f t="shared" si="12"/>
        <v>4074160.7601521686</v>
      </c>
      <c r="F32" s="188">
        <f t="shared" si="12"/>
        <v>6453732.992150262</v>
      </c>
      <c r="G32" s="188">
        <f t="shared" si="12"/>
        <v>9456089.858057946</v>
      </c>
      <c r="H32" s="188">
        <f t="shared" si="12"/>
        <v>15720406.210016437</v>
      </c>
      <c r="I32" s="188">
        <f t="shared" si="12"/>
        <v>22812688.310609497</v>
      </c>
    </row>
    <row r="33" spans="1:10" ht="15.75" customHeight="1" x14ac:dyDescent="0.25">
      <c r="A33" s="187"/>
      <c r="B33" s="196" t="s">
        <v>432</v>
      </c>
      <c r="C33" s="190">
        <f t="shared" ref="C33:I33" si="13">C31+C32</f>
        <v>2249331.773255378</v>
      </c>
      <c r="D33" s="190">
        <f t="shared" si="13"/>
        <v>4074160.7601521686</v>
      </c>
      <c r="E33" s="190">
        <f t="shared" si="13"/>
        <v>6453732.992150262</v>
      </c>
      <c r="F33" s="190">
        <f t="shared" si="13"/>
        <v>9456089.858057946</v>
      </c>
      <c r="G33" s="190">
        <f t="shared" si="13"/>
        <v>15720406.210016437</v>
      </c>
      <c r="H33" s="190">
        <f t="shared" si="13"/>
        <v>22812688.310609497</v>
      </c>
      <c r="I33" s="190">
        <f t="shared" si="13"/>
        <v>30840921.780814596</v>
      </c>
    </row>
    <row r="34" spans="1:10" ht="15.75" customHeight="1" x14ac:dyDescent="0.25"/>
    <row r="35" spans="1:10" ht="39.75" customHeight="1" x14ac:dyDescent="0.25">
      <c r="A35" s="379" t="s">
        <v>433</v>
      </c>
      <c r="B35" s="338"/>
      <c r="C35" s="338"/>
      <c r="D35" s="338"/>
      <c r="E35" s="338"/>
      <c r="F35" s="338"/>
      <c r="G35" s="338"/>
      <c r="H35" s="338"/>
      <c r="I35" s="338"/>
      <c r="J35" s="338"/>
    </row>
    <row r="36" spans="1:10" ht="15.75" customHeight="1" x14ac:dyDescent="0.25"/>
    <row r="37" spans="1:10" ht="15.75" customHeight="1" x14ac:dyDescent="0.25">
      <c r="C37" s="154"/>
    </row>
    <row r="38" spans="1:10" ht="15.75" customHeight="1" x14ac:dyDescent="0.25">
      <c r="C38" s="154"/>
    </row>
    <row r="39" spans="1:10" ht="15.75" customHeight="1" x14ac:dyDescent="0.25">
      <c r="C39" s="154"/>
    </row>
    <row r="40" spans="1:10" ht="15.75" customHeight="1" x14ac:dyDescent="0.25">
      <c r="C40" s="154"/>
    </row>
    <row r="41" spans="1:10" ht="15.75" customHeight="1" x14ac:dyDescent="0.25">
      <c r="C41" s="154"/>
    </row>
    <row r="42" spans="1:10" ht="15.75" customHeight="1" x14ac:dyDescent="0.25"/>
    <row r="43" spans="1:10" ht="15.75" customHeight="1" x14ac:dyDescent="0.25"/>
    <row r="44" spans="1:10" ht="15.75" customHeight="1" x14ac:dyDescent="0.25"/>
    <row r="45" spans="1:10" ht="15.75" customHeight="1" x14ac:dyDescent="0.25"/>
    <row r="46" spans="1:10" ht="15.75" customHeight="1" x14ac:dyDescent="0.25"/>
    <row r="47" spans="1:10" ht="15.75" customHeight="1" x14ac:dyDescent="0.25"/>
    <row r="48" spans="1:1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4">
    <mergeCell ref="A1:G1"/>
    <mergeCell ref="A13:B13"/>
    <mergeCell ref="A2:I2"/>
    <mergeCell ref="A35:J35"/>
  </mergeCells>
  <printOptions horizontalCentered="1"/>
  <pageMargins left="0.23622047244094491" right="0.23622047244094491"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'2.Capex Details'!Print_Area</vt:lpstr>
      <vt:lpstr>'3.Other Exp &amp; Taxes'!Print_Area</vt:lpstr>
      <vt:lpstr>'4.TL repayment sch'!Print_Area</vt:lpstr>
      <vt:lpstr>'6.Cons Profit &amp; Loss'!Print_Area</vt:lpstr>
      <vt:lpstr>'8.Cash Flow '!Print_Area</vt:lpstr>
      <vt:lpstr>'9. Financial indiacators'!Print_Area</vt:lpstr>
      <vt:lpstr>'14. Facility 3 Warehouse'!Print_Titles</vt:lpstr>
      <vt:lpstr>'16.Facility 5 Agri Input'!Print_Titles</vt:lpstr>
      <vt:lpstr>'4.TL repayment sch'!Print_Titles</vt:lpstr>
      <vt:lpstr>'6.Cons Profit &amp; Loss'!Print_Titles</vt:lpstr>
      <vt:lpstr>'7.Balance Sheet'!Print_Titles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com</cp:lastModifiedBy>
  <cp:lastPrinted>2022-12-26T15:51:32Z</cp:lastPrinted>
  <dcterms:created xsi:type="dcterms:W3CDTF">2006-09-16T00:00:00Z</dcterms:created>
  <dcterms:modified xsi:type="dcterms:W3CDTF">2022-12-26T15:52:30Z</dcterms:modified>
</cp:coreProperties>
</file>